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225" windowWidth="14805" windowHeight="7890"/>
  </bookViews>
  <sheets>
    <sheet name="Databank meststoffen" sheetId="1" r:id="rId1"/>
    <sheet name="Mineralenconcentraten" sheetId="5" r:id="rId2"/>
    <sheet name="Digestaat" sheetId="4" r:id="rId3"/>
    <sheet name="Dunne fractie" sheetId="6" r:id="rId4"/>
    <sheet name="Dikke fractie" sheetId="7" r:id="rId5"/>
    <sheet name="Biologische mest" sheetId="9" r:id="rId6"/>
    <sheet name="Overige mestsoorten" sheetId="2" r:id="rId7"/>
    <sheet name="Proeven Altic-Agrifirm" sheetId="10" r:id="rId8"/>
    <sheet name="Spuiwater" sheetId="11" r:id="rId9"/>
  </sheets>
  <calcPr calcId="145621"/>
</workbook>
</file>

<file path=xl/calcChain.xml><?xml version="1.0" encoding="utf-8"?>
<calcChain xmlns="http://schemas.openxmlformats.org/spreadsheetml/2006/main">
  <c r="E33" i="11"/>
  <c r="D33"/>
  <c r="C33"/>
  <c r="E32"/>
  <c r="D32"/>
  <c r="C32"/>
  <c r="J26" i="7" l="1"/>
  <c r="L26" s="1"/>
  <c r="J25"/>
  <c r="L25" s="1"/>
  <c r="K26" l="1"/>
  <c r="K25"/>
  <c r="J28" i="6"/>
  <c r="L28" s="1"/>
  <c r="L19" i="5"/>
  <c r="L27" i="6"/>
  <c r="K27"/>
  <c r="J27"/>
  <c r="K28" l="1"/>
  <c r="Z45" i="1"/>
  <c r="Y45"/>
  <c r="X45"/>
  <c r="W45"/>
  <c r="V45"/>
  <c r="T45"/>
  <c r="S45"/>
  <c r="N45"/>
  <c r="M45"/>
  <c r="J45"/>
  <c r="K45" s="1"/>
  <c r="I45"/>
  <c r="H45"/>
  <c r="D45"/>
  <c r="C45"/>
  <c r="J255" i="9"/>
  <c r="I255"/>
  <c r="H255"/>
  <c r="J254"/>
  <c r="J253"/>
  <c r="I254"/>
  <c r="H254"/>
  <c r="K253"/>
  <c r="I253"/>
  <c r="G253"/>
  <c r="H253"/>
  <c r="K242"/>
  <c r="K241"/>
  <c r="K249"/>
  <c r="K247"/>
  <c r="K244"/>
  <c r="K243"/>
  <c r="J241"/>
  <c r="J242"/>
  <c r="J243"/>
  <c r="J244"/>
  <c r="J247"/>
  <c r="J249"/>
  <c r="D255"/>
  <c r="D254"/>
  <c r="D253"/>
  <c r="C253"/>
  <c r="M255"/>
  <c r="M254"/>
  <c r="L255"/>
  <c r="L254"/>
  <c r="G255"/>
  <c r="G254"/>
  <c r="C255"/>
  <c r="C254"/>
  <c r="M231"/>
  <c r="Z40" i="1" s="1"/>
  <c r="M230" i="9"/>
  <c r="N40" i="1" s="1"/>
  <c r="L231" i="9"/>
  <c r="Y40" i="1" s="1"/>
  <c r="L230" i="9"/>
  <c r="M40" i="1" s="1"/>
  <c r="G231" i="9"/>
  <c r="V40" i="1" s="1"/>
  <c r="G230" i="9"/>
  <c r="H40" i="1" s="1"/>
  <c r="D231" i="9"/>
  <c r="T40" i="1" s="1"/>
  <c r="D230" i="9"/>
  <c r="D40" i="1" s="1"/>
  <c r="C231" i="9"/>
  <c r="S40" i="1" s="1"/>
  <c r="C230" i="9"/>
  <c r="C40" i="1" s="1"/>
  <c r="K28" i="4"/>
  <c r="K9" i="5"/>
  <c r="D212" i="9"/>
  <c r="C212"/>
  <c r="G212"/>
  <c r="H212"/>
  <c r="M214"/>
  <c r="Z38" i="1" s="1"/>
  <c r="M213" i="9"/>
  <c r="N38" i="1" s="1"/>
  <c r="L214" i="9"/>
  <c r="Y38" i="1" s="1"/>
  <c r="L213" i="9"/>
  <c r="M38" i="1" s="1"/>
  <c r="G214" i="9"/>
  <c r="V38" i="1" s="1"/>
  <c r="G213" i="9"/>
  <c r="H38" i="1" s="1"/>
  <c r="D214" i="9"/>
  <c r="T38" i="1" s="1"/>
  <c r="C214" i="9"/>
  <c r="S38" i="1" s="1"/>
  <c r="C213" i="9"/>
  <c r="C38" i="1" s="1"/>
  <c r="D213" i="9"/>
  <c r="D38" i="1" s="1"/>
  <c r="K189" i="9"/>
  <c r="J189"/>
  <c r="K191"/>
  <c r="J191"/>
  <c r="K193"/>
  <c r="J193"/>
  <c r="K194"/>
  <c r="J194"/>
  <c r="K178"/>
  <c r="J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7"/>
  <c r="J167"/>
  <c r="K163"/>
  <c r="J163"/>
  <c r="K162"/>
  <c r="J162"/>
  <c r="I186"/>
  <c r="L45" i="1" l="1"/>
  <c r="H213" i="9"/>
  <c r="I38" i="1" s="1"/>
  <c r="H214" i="9"/>
  <c r="W38" i="1" s="1"/>
  <c r="K186" i="9"/>
  <c r="I212"/>
  <c r="J186"/>
  <c r="M181"/>
  <c r="Z37" i="1" s="1"/>
  <c r="L181" i="9"/>
  <c r="Y37" i="1" s="1"/>
  <c r="H181" i="9"/>
  <c r="W37" i="1" s="1"/>
  <c r="G181" i="9"/>
  <c r="V37" i="1" s="1"/>
  <c r="D181" i="9"/>
  <c r="T37" i="1" s="1"/>
  <c r="C181" i="9"/>
  <c r="S37" i="1" s="1"/>
  <c r="M180" i="9"/>
  <c r="N37" i="1" s="1"/>
  <c r="L180" i="9"/>
  <c r="M37" i="1" s="1"/>
  <c r="H180" i="9"/>
  <c r="I37" i="1" s="1"/>
  <c r="G180" i="9"/>
  <c r="H37" i="1" s="1"/>
  <c r="D180" i="9"/>
  <c r="D37" i="1" s="1"/>
  <c r="C180" i="9"/>
  <c r="C37" i="1" s="1"/>
  <c r="I166" i="9"/>
  <c r="I165"/>
  <c r="I164"/>
  <c r="M35" i="2"/>
  <c r="Z63" i="1" s="1"/>
  <c r="M34" i="2"/>
  <c r="N63" i="1" s="1"/>
  <c r="L35" i="2"/>
  <c r="Y63" i="1" s="1"/>
  <c r="L34" i="2"/>
  <c r="M63" i="1" s="1"/>
  <c r="G35" i="2"/>
  <c r="V63" i="1" s="1"/>
  <c r="G34" i="2"/>
  <c r="H63" i="1" s="1"/>
  <c r="D35" i="2"/>
  <c r="T63" i="1" s="1"/>
  <c r="D34" i="2"/>
  <c r="D63" i="1" s="1"/>
  <c r="C35" i="2"/>
  <c r="S63" i="1" s="1"/>
  <c r="C34" i="2"/>
  <c r="C63" i="1" s="1"/>
  <c r="K153" i="9"/>
  <c r="J153"/>
  <c r="K152"/>
  <c r="J152"/>
  <c r="K151"/>
  <c r="J151"/>
  <c r="K150"/>
  <c r="J150"/>
  <c r="J155" s="1"/>
  <c r="M155"/>
  <c r="N15" i="1" s="1"/>
  <c r="L155" i="9"/>
  <c r="M15" i="1" s="1"/>
  <c r="I155" i="9"/>
  <c r="J15" i="1" s="1"/>
  <c r="H155" i="9"/>
  <c r="I15" i="1" s="1"/>
  <c r="G155" i="9"/>
  <c r="H15" i="1" s="1"/>
  <c r="D155" i="9"/>
  <c r="D15" i="1" s="1"/>
  <c r="C155" i="9"/>
  <c r="C15" i="1" s="1"/>
  <c r="I45" i="9"/>
  <c r="K45" s="1"/>
  <c r="I44"/>
  <c r="K44" s="1"/>
  <c r="I43"/>
  <c r="K43" s="1"/>
  <c r="I37"/>
  <c r="K37" s="1"/>
  <c r="I36"/>
  <c r="K36" s="1"/>
  <c r="I34"/>
  <c r="K34" s="1"/>
  <c r="I33"/>
  <c r="J33" s="1"/>
  <c r="I32"/>
  <c r="K32" s="1"/>
  <c r="I31"/>
  <c r="J31" s="1"/>
  <c r="I30"/>
  <c r="J30" s="1"/>
  <c r="H145"/>
  <c r="W6" i="1" s="1"/>
  <c r="H144" i="9"/>
  <c r="I6" i="1" s="1"/>
  <c r="G145" i="9"/>
  <c r="V6" i="1" s="1"/>
  <c r="G144" i="9"/>
  <c r="H6" i="1" s="1"/>
  <c r="D145" i="9"/>
  <c r="T6" i="1" s="1"/>
  <c r="D144" i="9"/>
  <c r="D6" i="1" s="1"/>
  <c r="C145" i="9"/>
  <c r="S6" i="1" s="1"/>
  <c r="C144" i="9"/>
  <c r="C6" i="1" s="1"/>
  <c r="M145" i="9"/>
  <c r="Z6" i="1" s="1"/>
  <c r="L145" i="9"/>
  <c r="Y6" i="1" s="1"/>
  <c r="I73" i="9"/>
  <c r="I145" s="1"/>
  <c r="X6" i="1" s="1"/>
  <c r="K137" i="9"/>
  <c r="J137"/>
  <c r="K136"/>
  <c r="J136"/>
  <c r="K135"/>
  <c r="J135"/>
  <c r="K134"/>
  <c r="J134"/>
  <c r="K133"/>
  <c r="J133"/>
  <c r="K132"/>
  <c r="J132"/>
  <c r="K131"/>
  <c r="J131"/>
  <c r="K130"/>
  <c r="J130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20"/>
  <c r="J120"/>
  <c r="K119"/>
  <c r="J119"/>
  <c r="K118"/>
  <c r="J118"/>
  <c r="K117"/>
  <c r="J117"/>
  <c r="K116"/>
  <c r="J116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2"/>
  <c r="J42"/>
  <c r="K41"/>
  <c r="J41"/>
  <c r="K40"/>
  <c r="J40"/>
  <c r="K39"/>
  <c r="J39"/>
  <c r="K29"/>
  <c r="J29"/>
  <c r="K28"/>
  <c r="J28"/>
  <c r="K25"/>
  <c r="J25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K4"/>
  <c r="J4"/>
  <c r="K3"/>
  <c r="J3"/>
  <c r="J212" l="1"/>
  <c r="I213"/>
  <c r="K212"/>
  <c r="I180"/>
  <c r="J37" i="1" s="1"/>
  <c r="K37" s="1"/>
  <c r="J165" i="9"/>
  <c r="K165"/>
  <c r="J164"/>
  <c r="K164"/>
  <c r="K166"/>
  <c r="J166"/>
  <c r="I181"/>
  <c r="X37" i="1" s="1"/>
  <c r="L37"/>
  <c r="K15"/>
  <c r="K155" i="9"/>
  <c r="L15" i="1"/>
  <c r="J6"/>
  <c r="L6" s="1"/>
  <c r="J37" i="9"/>
  <c r="L144"/>
  <c r="M6" i="1" s="1"/>
  <c r="K30" i="9"/>
  <c r="J34"/>
  <c r="I144"/>
  <c r="M144"/>
  <c r="N6" i="1" s="1"/>
  <c r="J32" i="9"/>
  <c r="J45"/>
  <c r="J44"/>
  <c r="J43"/>
  <c r="J36"/>
  <c r="K31"/>
  <c r="K33"/>
  <c r="N59" i="1"/>
  <c r="M59"/>
  <c r="J59"/>
  <c r="I59"/>
  <c r="H59"/>
  <c r="Y56"/>
  <c r="N19" i="7"/>
  <c r="Z56" i="1" s="1"/>
  <c r="M19" i="7"/>
  <c r="H19"/>
  <c r="V56" i="1" s="1"/>
  <c r="D19" i="7"/>
  <c r="S56" i="1" s="1"/>
  <c r="I21" i="6"/>
  <c r="E21"/>
  <c r="E20"/>
  <c r="N18" i="7"/>
  <c r="N56" i="1" s="1"/>
  <c r="M18" i="7"/>
  <c r="M56" i="1" s="1"/>
  <c r="H18" i="7"/>
  <c r="H56" i="1" s="1"/>
  <c r="D18" i="7"/>
  <c r="C56" i="1" s="1"/>
  <c r="E17" i="7"/>
  <c r="Z33" i="1"/>
  <c r="Y33"/>
  <c r="X33"/>
  <c r="W33"/>
  <c r="V33"/>
  <c r="T33"/>
  <c r="S33"/>
  <c r="N33"/>
  <c r="M33"/>
  <c r="L33"/>
  <c r="K33"/>
  <c r="J33"/>
  <c r="I33"/>
  <c r="H33"/>
  <c r="D33"/>
  <c r="C33"/>
  <c r="N29" i="4"/>
  <c r="M29"/>
  <c r="L29"/>
  <c r="K29"/>
  <c r="J29"/>
  <c r="I29"/>
  <c r="H29"/>
  <c r="E29"/>
  <c r="D29"/>
  <c r="N28"/>
  <c r="M28"/>
  <c r="J28"/>
  <c r="I28"/>
  <c r="H28"/>
  <c r="E28"/>
  <c r="D28"/>
  <c r="I17"/>
  <c r="E17"/>
  <c r="H17"/>
  <c r="I16"/>
  <c r="H16"/>
  <c r="E16"/>
  <c r="D17"/>
  <c r="D16"/>
  <c r="C16"/>
  <c r="N14"/>
  <c r="M14"/>
  <c r="N26"/>
  <c r="M26"/>
  <c r="Z20" i="1"/>
  <c r="Y20"/>
  <c r="W20"/>
  <c r="V20"/>
  <c r="T20"/>
  <c r="S20"/>
  <c r="N21" i="6"/>
  <c r="M21"/>
  <c r="H21"/>
  <c r="D21"/>
  <c r="N20"/>
  <c r="M20"/>
  <c r="H20"/>
  <c r="N19"/>
  <c r="M19"/>
  <c r="I19"/>
  <c r="H19"/>
  <c r="J19" s="1"/>
  <c r="K19" s="1"/>
  <c r="E19"/>
  <c r="D19"/>
  <c r="D20"/>
  <c r="J38"/>
  <c r="L38" s="1"/>
  <c r="J7"/>
  <c r="L7" s="1"/>
  <c r="J6"/>
  <c r="L6" s="1"/>
  <c r="J5"/>
  <c r="L5" s="1"/>
  <c r="J4"/>
  <c r="L4" s="1"/>
  <c r="J3"/>
  <c r="L3" s="1"/>
  <c r="L21" s="1"/>
  <c r="J34"/>
  <c r="L34" s="1"/>
  <c r="J21" l="1"/>
  <c r="X20" i="1" s="1"/>
  <c r="J213" i="9"/>
  <c r="J38" i="1"/>
  <c r="I214" i="9"/>
  <c r="X38" i="1" s="1"/>
  <c r="K213" i="9"/>
  <c r="K181"/>
  <c r="K180"/>
  <c r="J144"/>
  <c r="J181"/>
  <c r="J180"/>
  <c r="K6" i="1"/>
  <c r="J145" i="9"/>
  <c r="K144"/>
  <c r="K145"/>
  <c r="J16" i="4"/>
  <c r="K16" s="1"/>
  <c r="L19" i="6"/>
  <c r="I20"/>
  <c r="J20"/>
  <c r="K34"/>
  <c r="K5"/>
  <c r="K3"/>
  <c r="K7"/>
  <c r="K4"/>
  <c r="K6"/>
  <c r="K38"/>
  <c r="N9" i="5"/>
  <c r="M9"/>
  <c r="I9"/>
  <c r="H9"/>
  <c r="E9"/>
  <c r="D9"/>
  <c r="K21" i="6" l="1"/>
  <c r="L38" i="1"/>
  <c r="K38"/>
  <c r="L16" i="4"/>
  <c r="K20" i="6"/>
  <c r="L20"/>
  <c r="L65" i="1"/>
  <c r="K65"/>
  <c r="L46"/>
  <c r="K46"/>
  <c r="K44"/>
  <c r="L44"/>
  <c r="L42"/>
  <c r="K42"/>
  <c r="L9"/>
  <c r="K9"/>
  <c r="K22" i="4" l="1"/>
  <c r="K23"/>
  <c r="K25"/>
  <c r="K24"/>
  <c r="L83" i="1" l="1"/>
  <c r="L82"/>
  <c r="L81"/>
  <c r="H20"/>
  <c r="D20"/>
  <c r="C20"/>
  <c r="N39" i="7"/>
  <c r="M39"/>
  <c r="I39"/>
  <c r="H39"/>
  <c r="E39"/>
  <c r="D59" i="1" s="1"/>
  <c r="D39" i="7"/>
  <c r="C59" i="1" s="1"/>
  <c r="N58"/>
  <c r="M58"/>
  <c r="I58"/>
  <c r="H58"/>
  <c r="D58"/>
  <c r="C58"/>
  <c r="L37" i="7"/>
  <c r="K37"/>
  <c r="L36"/>
  <c r="K36"/>
  <c r="N17"/>
  <c r="M17"/>
  <c r="I17"/>
  <c r="H17"/>
  <c r="D17"/>
  <c r="E18" s="1"/>
  <c r="K210" i="9"/>
  <c r="J210"/>
  <c r="K209"/>
  <c r="J209"/>
  <c r="K208"/>
  <c r="J208"/>
  <c r="K207"/>
  <c r="J207"/>
  <c r="K206"/>
  <c r="J206"/>
  <c r="K205"/>
  <c r="J205"/>
  <c r="K204"/>
  <c r="J204"/>
  <c r="K203"/>
  <c r="J203"/>
  <c r="K202"/>
  <c r="J202"/>
  <c r="K201"/>
  <c r="J201"/>
  <c r="K200"/>
  <c r="J200"/>
  <c r="N29" i="1"/>
  <c r="M29"/>
  <c r="I29"/>
  <c r="N28"/>
  <c r="M28"/>
  <c r="I28"/>
  <c r="H29"/>
  <c r="H28"/>
  <c r="D28"/>
  <c r="C28"/>
  <c r="N43" i="6"/>
  <c r="N23" i="1" s="1"/>
  <c r="M43" i="6"/>
  <c r="M23" i="1" s="1"/>
  <c r="J43" i="6"/>
  <c r="J23" i="1" s="1"/>
  <c r="I43" i="6"/>
  <c r="I23" i="1" s="1"/>
  <c r="H43" i="6"/>
  <c r="H23" i="1" s="1"/>
  <c r="E43" i="6"/>
  <c r="D23" i="1" s="1"/>
  <c r="D43" i="6"/>
  <c r="C23" i="1" s="1"/>
  <c r="N20"/>
  <c r="M20"/>
  <c r="I20"/>
  <c r="K214" i="9" l="1"/>
  <c r="J214"/>
  <c r="E19" i="7"/>
  <c r="T56" i="1" s="1"/>
  <c r="D56"/>
  <c r="I18" i="7"/>
  <c r="L23" i="1"/>
  <c r="K23"/>
  <c r="K43" i="6"/>
  <c r="L43"/>
  <c r="K10"/>
  <c r="K41"/>
  <c r="K40"/>
  <c r="K39"/>
  <c r="I19" i="7" l="1"/>
  <c r="W56" i="1" s="1"/>
  <c r="I56"/>
  <c r="J18" i="7"/>
  <c r="L10" i="6"/>
  <c r="L41"/>
  <c r="L39"/>
  <c r="L40"/>
  <c r="J56" i="1" l="1"/>
  <c r="K18" i="7"/>
  <c r="L18"/>
  <c r="L26" i="6"/>
  <c r="K26"/>
  <c r="J9" l="1"/>
  <c r="L9" s="1"/>
  <c r="J9" i="7"/>
  <c r="L9" s="1"/>
  <c r="J8" i="6"/>
  <c r="K8" l="1"/>
  <c r="L8"/>
  <c r="K9"/>
  <c r="K9" i="7"/>
  <c r="J251" i="9"/>
  <c r="J250"/>
  <c r="J20" i="1" l="1"/>
  <c r="D136" i="2"/>
  <c r="D135"/>
  <c r="D121"/>
  <c r="D107"/>
  <c r="T32" i="1"/>
  <c r="S32"/>
  <c r="D32"/>
  <c r="C32"/>
  <c r="B32"/>
  <c r="W32"/>
  <c r="I32"/>
  <c r="V32"/>
  <c r="H32"/>
  <c r="K20" l="1"/>
  <c r="L20"/>
  <c r="N13" i="4"/>
  <c r="N12"/>
  <c r="N11"/>
  <c r="N10"/>
  <c r="M13"/>
  <c r="M12"/>
  <c r="M11"/>
  <c r="M10"/>
  <c r="J13"/>
  <c r="L13" s="1"/>
  <c r="J12"/>
  <c r="L12" s="1"/>
  <c r="J11"/>
  <c r="L11" s="1"/>
  <c r="J10"/>
  <c r="L10" s="1"/>
  <c r="J9"/>
  <c r="L9" s="1"/>
  <c r="L7"/>
  <c r="K7"/>
  <c r="N9"/>
  <c r="M9"/>
  <c r="J8"/>
  <c r="K112" i="2"/>
  <c r="K33" i="4"/>
  <c r="K21"/>
  <c r="J61" i="2"/>
  <c r="J54"/>
  <c r="J75"/>
  <c r="K8" i="4" l="1"/>
  <c r="J17"/>
  <c r="N17"/>
  <c r="N16"/>
  <c r="M17"/>
  <c r="M16"/>
  <c r="M32" i="1" s="1"/>
  <c r="L8" i="4"/>
  <c r="X32" i="1"/>
  <c r="J32"/>
  <c r="Y32"/>
  <c r="K10" i="4"/>
  <c r="Z32" i="1"/>
  <c r="N32"/>
  <c r="K12" i="4"/>
  <c r="K9"/>
  <c r="K11"/>
  <c r="K13"/>
  <c r="K47" i="1"/>
  <c r="L47"/>
  <c r="L53"/>
  <c r="K53"/>
  <c r="J35" i="7"/>
  <c r="J39" s="1"/>
  <c r="J7"/>
  <c r="L7" s="1"/>
  <c r="J6"/>
  <c r="K6" s="1"/>
  <c r="J5"/>
  <c r="L5" s="1"/>
  <c r="J4"/>
  <c r="K4" s="1"/>
  <c r="J3"/>
  <c r="J32"/>
  <c r="D26" i="1"/>
  <c r="I26"/>
  <c r="J19" i="5"/>
  <c r="J29" i="1" s="1"/>
  <c r="J7" i="5"/>
  <c r="K7" s="1"/>
  <c r="J6"/>
  <c r="L6" s="1"/>
  <c r="J5"/>
  <c r="K5" s="1"/>
  <c r="J4"/>
  <c r="L4" s="1"/>
  <c r="J3"/>
  <c r="J15"/>
  <c r="L5" i="4"/>
  <c r="K5"/>
  <c r="L3"/>
  <c r="L17" s="1"/>
  <c r="K3"/>
  <c r="K29" i="1" l="1"/>
  <c r="K17" i="4"/>
  <c r="J9" i="5"/>
  <c r="L9" s="1"/>
  <c r="K15"/>
  <c r="J28" i="1"/>
  <c r="K32" i="7"/>
  <c r="J58" i="1"/>
  <c r="L58" s="1"/>
  <c r="K39" i="7"/>
  <c r="L39"/>
  <c r="J17"/>
  <c r="K17" s="1"/>
  <c r="J26" i="1"/>
  <c r="L15" i="5"/>
  <c r="K4"/>
  <c r="K6"/>
  <c r="K19"/>
  <c r="L3"/>
  <c r="L5"/>
  <c r="L7"/>
  <c r="K3"/>
  <c r="K3" i="7"/>
  <c r="K7"/>
  <c r="K5"/>
  <c r="L32" i="1"/>
  <c r="K32"/>
  <c r="L59"/>
  <c r="L32" i="7"/>
  <c r="L4"/>
  <c r="L6"/>
  <c r="L35"/>
  <c r="K35"/>
  <c r="L3"/>
  <c r="L64" i="1"/>
  <c r="L62"/>
  <c r="L52"/>
  <c r="L51"/>
  <c r="L50"/>
  <c r="L49"/>
  <c r="L48"/>
  <c r="L43"/>
  <c r="L41"/>
  <c r="L39"/>
  <c r="L36"/>
  <c r="L17"/>
  <c r="L16"/>
  <c r="L14"/>
  <c r="L11"/>
  <c r="L10"/>
  <c r="L8"/>
  <c r="L7"/>
  <c r="L5"/>
  <c r="K62"/>
  <c r="K64"/>
  <c r="K52"/>
  <c r="K51"/>
  <c r="K50"/>
  <c r="K49"/>
  <c r="K48"/>
  <c r="K43"/>
  <c r="K41"/>
  <c r="K39"/>
  <c r="K36"/>
  <c r="K17"/>
  <c r="K16"/>
  <c r="K14"/>
  <c r="K11"/>
  <c r="K10"/>
  <c r="K8"/>
  <c r="K7"/>
  <c r="K5"/>
  <c r="K19" i="7" l="1"/>
  <c r="J19"/>
  <c r="X56" i="1" s="1"/>
  <c r="K28"/>
  <c r="L28"/>
  <c r="L26"/>
  <c r="K56"/>
  <c r="L17" i="7"/>
  <c r="L19" s="1"/>
  <c r="K59" i="1"/>
  <c r="L56" l="1"/>
  <c r="K58"/>
  <c r="C26"/>
  <c r="H26"/>
  <c r="K26" s="1"/>
  <c r="M26"/>
  <c r="N26"/>
</calcChain>
</file>

<file path=xl/comments1.xml><?xml version="1.0" encoding="utf-8"?>
<comments xmlns="http://schemas.openxmlformats.org/spreadsheetml/2006/main">
  <authors>
    <author>Auteur</author>
  </authors>
  <commentList>
    <comment ref="E22" authorId="0">
      <text>
        <r>
          <rPr>
            <sz val="9"/>
            <color indexed="81"/>
            <rFont val="Tahoma"/>
            <family val="2"/>
          </rPr>
          <t>gebaseerd op rapport Duurzaamheid organische stof</t>
        </r>
      </text>
    </comment>
    <comment ref="E23" authorId="0">
      <text>
        <r>
          <rPr>
            <sz val="9"/>
            <color indexed="81"/>
            <rFont val="Tahoma"/>
            <family val="2"/>
          </rPr>
          <t>gebaseerd op rapport Duurzaamheid organische stof</t>
        </r>
      </text>
    </comment>
    <comment ref="E28" authorId="0">
      <text>
        <r>
          <rPr>
            <sz val="9"/>
            <color indexed="81"/>
            <rFont val="Tahoma"/>
            <family val="2"/>
          </rPr>
          <t>gebaseerd op rapport Duurzaamheid organische stof</t>
        </r>
      </text>
    </comment>
    <comment ref="E29" authorId="0">
      <text>
        <r>
          <rPr>
            <sz val="9"/>
            <color indexed="81"/>
            <rFont val="Tahoma"/>
            <family val="2"/>
          </rPr>
          <t>gebaseerd op rapport Duurzaamheid organische stof</t>
        </r>
      </text>
    </comment>
    <comment ref="E32" authorId="0">
      <text>
        <r>
          <rPr>
            <sz val="9"/>
            <color indexed="81"/>
            <rFont val="Tahoma"/>
            <family val="2"/>
          </rPr>
          <t>gebaseerd op rapport Duurzaamheid organische stof</t>
        </r>
      </text>
    </comment>
    <comment ref="E33" authorId="0">
      <text>
        <r>
          <rPr>
            <sz val="9"/>
            <color indexed="81"/>
            <rFont val="Tahoma"/>
            <family val="2"/>
          </rPr>
          <t>gebaseerd op rapport Duurzaamheid organische stof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47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48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50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52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58" authorId="0">
      <text>
        <r>
          <rPr>
            <sz val="9"/>
            <color indexed="81"/>
            <rFont val="Tahoma"/>
            <family val="2"/>
          </rPr>
          <t>gebaseerd op rapport Duurzaamheid organische stof</t>
        </r>
      </text>
    </comment>
    <comment ref="E59" authorId="0">
      <text>
        <r>
          <rPr>
            <sz val="9"/>
            <color indexed="81"/>
            <rFont val="Tahoma"/>
            <family val="2"/>
          </rPr>
          <t>gebaseerd op rapport Duurzaamheid organische stof</t>
        </r>
      </text>
    </comment>
    <comment ref="E68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schatting/aanname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schatting/aanname</t>
        </r>
      </text>
    </comment>
    <comment ref="E70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schatting/aanname</t>
        </r>
      </text>
    </comment>
    <comment ref="E7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schatting/aanname</t>
        </r>
      </text>
    </comment>
    <comment ref="E73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schatting/aanname</t>
        </r>
      </text>
    </comment>
    <comment ref="E74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schatting/aanname</t>
        </r>
      </text>
    </comment>
    <comment ref="E76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  <comment ref="E77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aanname</t>
        </r>
      </text>
    </comment>
  </commentList>
</comments>
</file>

<file path=xl/comments2.xml><?xml version="1.0" encoding="utf-8"?>
<comments xmlns="http://schemas.openxmlformats.org/spreadsheetml/2006/main">
  <authors>
    <author>Auteur</author>
  </authors>
  <commentList>
    <comment ref="A15" authorId="0">
      <text>
        <r>
          <rPr>
            <sz val="9"/>
            <color indexed="81"/>
            <rFont val="Tahoma"/>
            <family val="2"/>
          </rPr>
          <t>vergisting van varkensdrijfmest, pluimveedrijfmest, maïs, co-producten</t>
        </r>
      </text>
    </comment>
    <comment ref="A19" authorId="0">
      <text>
        <r>
          <rPr>
            <sz val="9"/>
            <color indexed="81"/>
            <rFont val="Tahoma"/>
            <family val="2"/>
          </rPr>
          <t>vergisting van runderdrijfmest, maïs, co-producten</t>
        </r>
      </text>
    </comment>
  </commentList>
</comments>
</file>

<file path=xl/comments3.xml><?xml version="1.0" encoding="utf-8"?>
<comments xmlns="http://schemas.openxmlformats.org/spreadsheetml/2006/main">
  <authors>
    <author>Auteur</author>
  </authors>
  <commentList>
    <comment ref="A70" authorId="0">
      <text>
        <r>
          <rPr>
            <sz val="9"/>
            <color indexed="81"/>
            <rFont val="Tahoma"/>
            <family val="2"/>
          </rPr>
          <t>indicatief</t>
        </r>
      </text>
    </comment>
    <comment ref="A77" authorId="0">
      <text>
        <r>
          <rPr>
            <sz val="9"/>
            <color indexed="81"/>
            <rFont val="Tahoma"/>
            <family val="2"/>
          </rPr>
          <t>indicatief</t>
        </r>
      </text>
    </comment>
    <comment ref="A114" authorId="0">
      <text>
        <r>
          <rPr>
            <sz val="9"/>
            <color indexed="81"/>
            <rFont val="Tahoma"/>
            <family val="2"/>
          </rPr>
          <t>indicatief</t>
        </r>
      </text>
    </comment>
    <comment ref="A118" authorId="0">
      <text>
        <r>
          <rPr>
            <sz val="9"/>
            <color indexed="81"/>
            <rFont val="Tahoma"/>
            <family val="2"/>
          </rPr>
          <t>indicatief</t>
        </r>
      </text>
    </comment>
  </commentList>
</comments>
</file>

<file path=xl/sharedStrings.xml><?xml version="1.0" encoding="utf-8"?>
<sst xmlns="http://schemas.openxmlformats.org/spreadsheetml/2006/main" count="1320" uniqueCount="389">
  <si>
    <t>Mestsoort</t>
  </si>
  <si>
    <t>Droge stof (kg/ton)</t>
  </si>
  <si>
    <t>Organische stof (kg/ton)</t>
  </si>
  <si>
    <t>N-totaal (kg/ton)</t>
  </si>
  <si>
    <t>Nm (kg/ton)</t>
  </si>
  <si>
    <t>Norg (kg/ton)</t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</si>
  <si>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(kg/ton)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</si>
  <si>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(kg/ton)</t>
    </r>
  </si>
  <si>
    <r>
      <t>Humificatieco</t>
    </r>
    <r>
      <rPr>
        <sz val="11"/>
        <color theme="1"/>
        <rFont val="Calibri"/>
        <family val="2"/>
      </rPr>
      <t>ë</t>
    </r>
    <r>
      <rPr>
        <sz val="11"/>
        <color theme="1"/>
        <rFont val="Calibri"/>
        <family val="2"/>
        <scheme val="minor"/>
      </rPr>
      <t>fficiënt</t>
    </r>
  </si>
  <si>
    <t>C-gehalte (kg/ton OS)</t>
  </si>
  <si>
    <t>Gemiddelde samenstelling</t>
  </si>
  <si>
    <t>Standaardafwijking</t>
  </si>
  <si>
    <t>Norg (%)</t>
  </si>
  <si>
    <t>Drijfmest</t>
  </si>
  <si>
    <t>Rundvee</t>
  </si>
  <si>
    <t>Vleesvarkens</t>
  </si>
  <si>
    <t>Zeugen</t>
  </si>
  <si>
    <t>Kippen</t>
  </si>
  <si>
    <t>Gier</t>
  </si>
  <si>
    <t>Vaste mest</t>
  </si>
  <si>
    <t>Rundvee grupstal</t>
  </si>
  <si>
    <t>Varkens (stro)</t>
  </si>
  <si>
    <t>Schapen</t>
  </si>
  <si>
    <t>Geiten</t>
  </si>
  <si>
    <t>Nertsen</t>
  </si>
  <si>
    <t>Eenden</t>
  </si>
  <si>
    <t>Konijnen</t>
  </si>
  <si>
    <t>Paarden</t>
  </si>
  <si>
    <t>Compost</t>
  </si>
  <si>
    <t>GFT-compost</t>
  </si>
  <si>
    <t>Champost</t>
  </si>
  <si>
    <t>Groencompost</t>
  </si>
  <si>
    <t>Dunne fractie na mestscheiding</t>
  </si>
  <si>
    <t>Betacal-carbo</t>
  </si>
  <si>
    <t>Betacal-filter</t>
  </si>
  <si>
    <t>Betacal-flow</t>
  </si>
  <si>
    <t>Vinassekali (Nedalco)</t>
  </si>
  <si>
    <r>
      <t>Soortelijk gewicht (ton/m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</si>
  <si>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Bron</t>
  </si>
  <si>
    <t>Adviesbasis bemesting</t>
  </si>
  <si>
    <t>C/Norg</t>
  </si>
  <si>
    <t>Mineralenconcentraat</t>
  </si>
  <si>
    <t>Kippenstrooiselmest</t>
  </si>
  <si>
    <t>Dikke fractie na mestscheiding</t>
  </si>
  <si>
    <t>Digestaat van (co-)vergiste mest</t>
  </si>
  <si>
    <t>Co-product</t>
  </si>
  <si>
    <t>Overige organische meststoffen dan wel meststoffen met organische bestandelen</t>
  </si>
  <si>
    <t>Bloedmeel</t>
  </si>
  <si>
    <t>Beendermeel</t>
  </si>
  <si>
    <t>Verenmeel</t>
  </si>
  <si>
    <t>Luzerneschroot</t>
  </si>
  <si>
    <t>Hoornmeel</t>
  </si>
  <si>
    <t>Protamylasse (Avebe)</t>
  </si>
  <si>
    <t>Recykal (Soepenberg)</t>
  </si>
  <si>
    <t>Hoefmeel</t>
  </si>
  <si>
    <t>Vleesmeel</t>
  </si>
  <si>
    <t>Zeewier(producten)</t>
  </si>
  <si>
    <t>Meststoffen-databank NMI</t>
  </si>
  <si>
    <t>Ricinusschroot</t>
  </si>
  <si>
    <t>Maltaflor</t>
  </si>
  <si>
    <t>Kippenmestkorrels</t>
  </si>
  <si>
    <t>Koolzaadschroot</t>
  </si>
  <si>
    <t>geen</t>
  </si>
  <si>
    <t>VDM-digestaat</t>
  </si>
  <si>
    <t>?</t>
  </si>
  <si>
    <t>Bron / proef / herkomst</t>
  </si>
  <si>
    <t>Proefbedrijf Sterksel, toegepast te VP in 2006</t>
  </si>
  <si>
    <t>Mestvergister nabij VP, toegepast te VP in 2007</t>
  </si>
  <si>
    <t>Mestvergister nabij VP, toegepast te VP in 2008</t>
  </si>
  <si>
    <t>Mestvergister nabij VP, toegepast te VP in 2009</t>
  </si>
  <si>
    <t>Mestsoort en herkomst</t>
  </si>
  <si>
    <t>MC van VDM, bedrijf B</t>
  </si>
  <si>
    <t>MC van VDM, bedrijf C</t>
  </si>
  <si>
    <t>MC van VDM, bedrijf E</t>
  </si>
  <si>
    <t>MC van VDM, bedrijf F</t>
  </si>
  <si>
    <t>Dikke fractie VDM, bedrijf B</t>
  </si>
  <si>
    <t>Dikke fractie VDM, bedrijf C</t>
  </si>
  <si>
    <t>Dikke fractie VDM, bedrijf D</t>
  </si>
  <si>
    <t>Dikke fractie VDM, bedrijf E</t>
  </si>
  <si>
    <t>Dikke fractie VDM, bedrijf F</t>
  </si>
  <si>
    <t>MC van varkensdrijfmest</t>
  </si>
  <si>
    <t>MC van runderdrijfmest</t>
  </si>
  <si>
    <t>MC van RDM-digestaat</t>
  </si>
  <si>
    <t>Gemiddeld MC van VDM</t>
  </si>
  <si>
    <t>Dikke fractie VDM</t>
  </si>
  <si>
    <t>Dikke fractie VDM-digestaat</t>
  </si>
  <si>
    <t>Dikke fractie RDM-digestaat</t>
  </si>
  <si>
    <t>Dikke fractie RDM</t>
  </si>
  <si>
    <t>RDM-digestaat</t>
  </si>
  <si>
    <t>Osmo</t>
  </si>
  <si>
    <t>Ecostyle</t>
  </si>
  <si>
    <t>DCM</t>
  </si>
  <si>
    <t>Vossen</t>
  </si>
  <si>
    <t>Nutrinorm / DSM Agro</t>
  </si>
  <si>
    <t>LBI-rapport Hulpmeststoffen, 2008</t>
  </si>
  <si>
    <t>maïs+kuilgras</t>
  </si>
  <si>
    <t>Protamylasse</t>
  </si>
  <si>
    <t>Leghennen, vers</t>
  </si>
  <si>
    <t>Leghennen, bewaard</t>
  </si>
  <si>
    <t>Maïsdigestaat</t>
  </si>
  <si>
    <t>Luzernebrok</t>
  </si>
  <si>
    <t>Condit</t>
  </si>
  <si>
    <t>Monterra Malt</t>
  </si>
  <si>
    <t>Vinassekali</t>
  </si>
  <si>
    <t>Van der Stelt, Beverwijk</t>
  </si>
  <si>
    <t>Vlamings, De Mortel</t>
  </si>
  <si>
    <t>Producten met moutkiemen van gerst</t>
  </si>
  <si>
    <t>Agrifirm</t>
  </si>
  <si>
    <t>130-140</t>
  </si>
  <si>
    <t>Gras-klaverbrok</t>
  </si>
  <si>
    <t>Ekoland 9-2004</t>
  </si>
  <si>
    <t>Scharrelkippenmestkorrel (Memon)</t>
  </si>
  <si>
    <t>Bloedmeel (Asef)</t>
  </si>
  <si>
    <t>Bloedmeel (Osmo)</t>
  </si>
  <si>
    <t>Bloedmeel (Ecostyle)</t>
  </si>
  <si>
    <t>Bloedmeel (DCM)</t>
  </si>
  <si>
    <t>Beendermeel (Asef)</t>
  </si>
  <si>
    <t>Beendermeel (Osmo)</t>
  </si>
  <si>
    <t>Beendermeel (Ecostyle)</t>
  </si>
  <si>
    <t>Beendermeel (DCM)</t>
  </si>
  <si>
    <t>Hoornmeel (Osmo)</t>
  </si>
  <si>
    <t>Luzerneschroot (Hartog)</t>
  </si>
  <si>
    <t>Ricinusschroot (Memon)</t>
  </si>
  <si>
    <t>Asef</t>
  </si>
  <si>
    <t>Global green seeds</t>
  </si>
  <si>
    <t>Maltaflor Universal</t>
  </si>
  <si>
    <t>Maltaflor Bio</t>
  </si>
  <si>
    <t>Zeewiermeel</t>
  </si>
  <si>
    <t>PCBT, Rumbeke-Beitum, 2010</t>
  </si>
  <si>
    <t>120-140</t>
  </si>
  <si>
    <t>900-950</t>
  </si>
  <si>
    <t>4,0-4,8</t>
  </si>
  <si>
    <t>Haarmeel</t>
  </si>
  <si>
    <t>110-130</t>
  </si>
  <si>
    <t>0-10</t>
  </si>
  <si>
    <t>30-70</t>
  </si>
  <si>
    <t>150-160</t>
  </si>
  <si>
    <t>800-900</t>
  </si>
  <si>
    <t>Koemestkorrels</t>
  </si>
  <si>
    <t>400-550</t>
  </si>
  <si>
    <t>Guano</t>
  </si>
  <si>
    <t>-</t>
  </si>
  <si>
    <t>Sojaschroot</t>
  </si>
  <si>
    <t>Cacaodoppen</t>
  </si>
  <si>
    <t>Moutkiemen</t>
  </si>
  <si>
    <t>30-40</t>
  </si>
  <si>
    <t>0-20</t>
  </si>
  <si>
    <t>Condit 2,5</t>
  </si>
  <si>
    <t>Condit 5</t>
  </si>
  <si>
    <t>40-60</t>
  </si>
  <si>
    <t>20-30</t>
  </si>
  <si>
    <t>10-20</t>
  </si>
  <si>
    <t>Koemestkorrels (DCM)</t>
  </si>
  <si>
    <t>Vaste kippenmest (biologisch)</t>
  </si>
  <si>
    <t>Potstalmest, rundvee (biologisch)</t>
  </si>
  <si>
    <t>Rundveedrijfmest (biologisch)</t>
  </si>
  <si>
    <t>Potstalmest, geiten (biologisch)</t>
  </si>
  <si>
    <t>beukergist</t>
  </si>
  <si>
    <t>aardappelzetmeelslib</t>
  </si>
  <si>
    <t>maïskweekwater</t>
  </si>
  <si>
    <t>kwalizuivel</t>
  </si>
  <si>
    <t>rode-koolconcentraat</t>
  </si>
  <si>
    <t>ASG-rapport 19, nov 2006 (H. de Boer &amp; M. Timmerman) / proefbedrijf Sterksel</t>
  </si>
  <si>
    <t>ASG-rapport, feb 2006 (M. Timmerman) / proefbedrijf Sterksel</t>
  </si>
  <si>
    <t>Vleesbeendermeel</t>
  </si>
  <si>
    <t>Potstalmest VP-BIO</t>
  </si>
  <si>
    <t>Aangevoerd voor biologisch bedrijfssysteem VP 2000</t>
  </si>
  <si>
    <t>Aangevoerd voor biologisch bedrijfssysteem VP 2001</t>
  </si>
  <si>
    <t>Aangevoerd voor biologisch bedrijfssysteem VP 2002</t>
  </si>
  <si>
    <t>Aangevoerd voor biologisch bedrijfssysteem VP 2003</t>
  </si>
  <si>
    <t>Aangevoerd voor biologisch bedrijfssysteem VP 2004</t>
  </si>
  <si>
    <t>Aangevoerd voor biologisch bedrijfssysteem VP 2005</t>
  </si>
  <si>
    <t>Aangevoerd voor biologisch bedrijfssysteem VP 2006</t>
  </si>
  <si>
    <t>Aangevoerd voor biologisch bedrijfssysteem VP 2007</t>
  </si>
  <si>
    <t>Aangevoerd voor biologisch bedrijfssysteem VP 2008</t>
  </si>
  <si>
    <t>Aangevoerd voor biologisch bedrijfssysteem VP 2009</t>
  </si>
  <si>
    <t>Aangevoerd voor biologisch bedrijfssysteem VP 2010</t>
  </si>
  <si>
    <t>standaardafwijking</t>
  </si>
  <si>
    <t>werkblad "Digestaat" in dit document</t>
  </si>
  <si>
    <t>werkblad "MC" in dit document</t>
  </si>
  <si>
    <t>werkblad "Dikke fr" in dit document</t>
  </si>
  <si>
    <t>720-760</t>
  </si>
  <si>
    <t>480-540</t>
  </si>
  <si>
    <t>FARM</t>
  </si>
  <si>
    <t>Koemest(korrels), gedroogd</t>
  </si>
  <si>
    <t>Kippenmest(korrels), gedroogd</t>
  </si>
  <si>
    <t>Gedroogde Koemest (granulaat)</t>
  </si>
  <si>
    <t>Gedroogde Koemest (korrel)</t>
  </si>
  <si>
    <t>Gedroogde Koemest (poeder)</t>
  </si>
  <si>
    <t>Gedroogde Hennenmest</t>
  </si>
  <si>
    <t>Gedroogde Legkippemest</t>
  </si>
  <si>
    <t>Gedroogde Slachtkippemest</t>
  </si>
  <si>
    <t>Ecoboost (dunne varkensdrijfmest)</t>
  </si>
  <si>
    <t>Dunne fractie VDM</t>
  </si>
  <si>
    <t>Farmers House Kippenmestkorrels</t>
  </si>
  <si>
    <t>Dunne fractie RDM</t>
  </si>
  <si>
    <t>dunne fr. digestaat Runderweg</t>
  </si>
  <si>
    <t>van Nieuwenhuijzen 2006</t>
  </si>
  <si>
    <t>Dunne fractie RDM digestaat</t>
  </si>
  <si>
    <t>Drieslag</t>
  </si>
  <si>
    <t>digestaat ASG</t>
  </si>
  <si>
    <t>van Nieuwenhuijzen 2007</t>
  </si>
  <si>
    <t>digestaat RDM</t>
  </si>
  <si>
    <t>Siebenga 2006-2007</t>
  </si>
  <si>
    <t>Touw 2007</t>
  </si>
  <si>
    <t>Dunne fractie VDM, gemiddeld</t>
  </si>
  <si>
    <t>Dunne fractie RDM-dig., gemiddeld</t>
  </si>
  <si>
    <t>Dunne fractie RDM, gemiddeld</t>
  </si>
  <si>
    <t>VDM-dig. gemiddeld</t>
  </si>
  <si>
    <t>RDM-dig., gemiddeld</t>
  </si>
  <si>
    <t>MC van VDM</t>
  </si>
  <si>
    <t>Potstalmest BIO, gemiddeld</t>
  </si>
  <si>
    <t>Vaste kippenmest BIO, gemiddeld</t>
  </si>
  <si>
    <t>Dikke fractie RDM-dig., bedrijf H</t>
  </si>
  <si>
    <t>Dikke fractie RDM-dig., gemiddeld</t>
  </si>
  <si>
    <t>werkblad "Dunne fr" in dit document</t>
  </si>
  <si>
    <t>werkblad "Overige" in dit document</t>
  </si>
  <si>
    <t>Stro, tarwe-</t>
  </si>
  <si>
    <t>Stro, gerst-</t>
  </si>
  <si>
    <t>Stro, rogge-</t>
  </si>
  <si>
    <t>digestaat van (co)vergiste runderdrijfmest van het ASG) van proefbedrijf Nij Bosma Zathe</t>
  </si>
  <si>
    <t>digestaat Siebenga</t>
  </si>
  <si>
    <t>digestaat van (co)vergiste runderdrijfmest</t>
  </si>
  <si>
    <t>Dunne fractie rundvee</t>
  </si>
  <si>
    <t>Dunne fractie varkens</t>
  </si>
  <si>
    <t>Dunne fractie RDM-digestaat</t>
  </si>
  <si>
    <t>Dunne fractie VDM-digestaat</t>
  </si>
  <si>
    <t>Rosé kalveren</t>
  </si>
  <si>
    <t>Witvlees kalveren</t>
  </si>
  <si>
    <t>Leghennen (mestband)</t>
  </si>
  <si>
    <t>Leghennen (mestband + nadroging)</t>
  </si>
  <si>
    <t>Vleeskuikens + parelhoenders</t>
  </si>
  <si>
    <t>Kalkoenen</t>
  </si>
  <si>
    <t>Quick scan van be- en verwerkingstechnieken voor dierlijke mest</t>
  </si>
  <si>
    <t>Bemesting in de biologische akker- en tuinbouw bij bodems met een hoge fosfaattoestand</t>
  </si>
  <si>
    <t>Dunne fractie RDM centrifuge</t>
  </si>
  <si>
    <t>Dunne fractie RDM primaire scheiding</t>
  </si>
  <si>
    <t>Adviesbasis bemesting 2011</t>
  </si>
  <si>
    <t>Adviesbasis bemesting 2010 (gegevens 1996)</t>
  </si>
  <si>
    <t>Mineralenconcentraten uit dierlijk mest. Rapport 481. Livestock research</t>
  </si>
  <si>
    <t>MC van VDM/PDM/maïs-digestaat, bedrijf A</t>
  </si>
  <si>
    <t>Scheidingstechniek</t>
  </si>
  <si>
    <t>MC van RDM/maïs-digestaat, bedrijf H</t>
  </si>
  <si>
    <t>centrifuge/ultrafiltratie/omgekeerde osmose</t>
  </si>
  <si>
    <t>zeefbandpers/flotatie/omgekeerde osmose</t>
  </si>
  <si>
    <t>MC van VDM, bedrijf D</t>
  </si>
  <si>
    <t>vijzelpers/flotatie/omgekeerde osmose</t>
  </si>
  <si>
    <t>MC van VDM/PDM-digestaat</t>
  </si>
  <si>
    <t>centrifuge</t>
  </si>
  <si>
    <t>zeefbandpers</t>
  </si>
  <si>
    <t>vijzelpers</t>
  </si>
  <si>
    <t>Dikke fractie VDM/PDM-digestaat</t>
  </si>
  <si>
    <t>Dikke fractie VDM/PDM-digestaat, bedrijf A</t>
  </si>
  <si>
    <t>Commissie Bemesting Grasland en Voedergewassen. Rapport 1. Mestsamenstelling in Adviesbasis Bemesting Grasland en Voedergewassen (concept)</t>
  </si>
  <si>
    <t>Dunne fractie VDM, bedrijf B</t>
  </si>
  <si>
    <t>Dunne fractie VDM, bedrijf C</t>
  </si>
  <si>
    <t>Dunne fractie VDM, bedrijf D</t>
  </si>
  <si>
    <t>Dunne fractie VDM, bedrijf E</t>
  </si>
  <si>
    <t>Dunne fractie VDM, bedrijf F</t>
  </si>
  <si>
    <t>centrifuge/ultrafiltratie</t>
  </si>
  <si>
    <t>zeefbandpers/flotatie</t>
  </si>
  <si>
    <t>vijzelpers/flotatie</t>
  </si>
  <si>
    <t>Dunne fractie VDM digestaat</t>
  </si>
  <si>
    <t>Dunne fractie VDM/PDM digestaat, bedr. A</t>
  </si>
  <si>
    <t>Dunne fractie RDM digestaat, bedr. H</t>
  </si>
  <si>
    <t>MC van VDM-digestaat</t>
  </si>
  <si>
    <t>MC van RDM</t>
  </si>
  <si>
    <t xml:space="preserve">Dunne fractie VDM </t>
  </si>
  <si>
    <t>Dunne fractie zeugenmest</t>
  </si>
  <si>
    <t>mechanische scheiding</t>
  </si>
  <si>
    <t>centrifuge+vlokmiddel</t>
  </si>
  <si>
    <t>primaire scheiding</t>
  </si>
  <si>
    <t>strofilter</t>
  </si>
  <si>
    <t>bezinking</t>
  </si>
  <si>
    <t>Digestaat VDM/PDM</t>
  </si>
  <si>
    <t>Digestaat RDM</t>
  </si>
  <si>
    <t>Dikke fractie zeugenmest</t>
  </si>
  <si>
    <t>g/kg vers product</t>
  </si>
  <si>
    <t>mg/kg vers product</t>
  </si>
  <si>
    <t xml:space="preserve">jaar </t>
  </si>
  <si>
    <t>project</t>
  </si>
  <si>
    <t>proef</t>
  </si>
  <si>
    <t>type org. mest</t>
  </si>
  <si>
    <t>Ntotaal</t>
  </si>
  <si>
    <t>Org. N</t>
  </si>
  <si>
    <t>Amm. N</t>
  </si>
  <si>
    <t>Nitr. N</t>
  </si>
  <si>
    <t>P</t>
  </si>
  <si>
    <t>K</t>
  </si>
  <si>
    <t>Mg</t>
  </si>
  <si>
    <t>Ca</t>
  </si>
  <si>
    <t>S</t>
  </si>
  <si>
    <t>B</t>
  </si>
  <si>
    <t>Cu</t>
  </si>
  <si>
    <t xml:space="preserve">Fe </t>
  </si>
  <si>
    <t>Mn</t>
  </si>
  <si>
    <t>Mo</t>
  </si>
  <si>
    <t>Zn</t>
  </si>
  <si>
    <t>ds %</t>
  </si>
  <si>
    <t>snijmaïs</t>
  </si>
  <si>
    <t>DRM proef</t>
  </si>
  <si>
    <t>&lt;1</t>
  </si>
  <si>
    <t>DRM - object E</t>
  </si>
  <si>
    <t>grasland</t>
  </si>
  <si>
    <t>DRM-21 mrt</t>
  </si>
  <si>
    <t>W-tarwe</t>
  </si>
  <si>
    <t>VDM 9-5</t>
  </si>
  <si>
    <t xml:space="preserve">hyacint </t>
  </si>
  <si>
    <t>stalmest</t>
  </si>
  <si>
    <t>compost</t>
  </si>
  <si>
    <t xml:space="preserve">lelie </t>
  </si>
  <si>
    <t>DRM</t>
  </si>
  <si>
    <t xml:space="preserve">maïs </t>
  </si>
  <si>
    <t>&lt; 1</t>
  </si>
  <si>
    <t>Avarna</t>
  </si>
  <si>
    <t xml:space="preserve">VDM   </t>
  </si>
  <si>
    <t>orgaplus siert.</t>
  </si>
  <si>
    <t>orgaplus hical</t>
  </si>
  <si>
    <t>Z. aarda.</t>
  </si>
  <si>
    <t>VDM</t>
  </si>
  <si>
    <t>tulp</t>
  </si>
  <si>
    <t>Orgaplus Hical</t>
  </si>
  <si>
    <t>nb</t>
  </si>
  <si>
    <t>ograplus Hi Cal</t>
  </si>
  <si>
    <t>tarwe</t>
  </si>
  <si>
    <t>kippenmest</t>
  </si>
  <si>
    <t>&lt;0.1</t>
  </si>
  <si>
    <t>kippenvastemest</t>
  </si>
  <si>
    <t>varkensdrijfmest</t>
  </si>
  <si>
    <t>digestaat</t>
  </si>
  <si>
    <t>Bloedmeel Ecostyle</t>
  </si>
  <si>
    <t>Verenmeel / haarmeel</t>
  </si>
  <si>
    <t>Kippenmest</t>
  </si>
  <si>
    <t>*</t>
  </si>
  <si>
    <t>MAK</t>
  </si>
  <si>
    <t>BIOVEEM</t>
  </si>
  <si>
    <t>Rund potstalmest</t>
  </si>
  <si>
    <t>Rund vaste mest</t>
  </si>
  <si>
    <t>Varkensmest</t>
  </si>
  <si>
    <t>Rund potstalmestcompost</t>
  </si>
  <si>
    <t>Rund potstalmestcompost cmc</t>
  </si>
  <si>
    <t>Bio RDM</t>
  </si>
  <si>
    <t>Bio RDM gemiddeld</t>
  </si>
  <si>
    <t>Rundvee, biologisch</t>
  </si>
  <si>
    <t>werkblad "BIO" in dit document</t>
  </si>
  <si>
    <t>Rundveegier (biologisch)</t>
  </si>
  <si>
    <t>Bio RV gier</t>
  </si>
  <si>
    <t>Bio RV gier gemiddeld</t>
  </si>
  <si>
    <t>Potstalmestcompost</t>
  </si>
  <si>
    <t>Gemiddeld</t>
  </si>
  <si>
    <t>Potstalmestcompost, rundvee</t>
  </si>
  <si>
    <t>Vaste rundeveemest (biologisch)</t>
  </si>
  <si>
    <t>Rund vaste mest gemiddeld</t>
  </si>
  <si>
    <t>Rundvee (biologisch)</t>
  </si>
  <si>
    <t>Rundvee potstal (biologisch)</t>
  </si>
  <si>
    <t>Varkensmest (biologisch)</t>
  </si>
  <si>
    <t>Varkens (biologisch)</t>
  </si>
  <si>
    <t>Varkensmest gemiddeld</t>
  </si>
  <si>
    <t>Kippenmest (biologisch)</t>
  </si>
  <si>
    <t>PRI-rapport 287 (Schröder et al., 2009) - mestscheidingstechnieken</t>
  </si>
  <si>
    <t>trommelfilter</t>
  </si>
  <si>
    <t>Dikke fractie VDM, gemiddeld1</t>
  </si>
  <si>
    <t>Dikke fractie VDM, gemiddeld2</t>
  </si>
  <si>
    <t>Dikke fractie RDM, gemiddeld</t>
  </si>
  <si>
    <t>Initiële leeftijd</t>
  </si>
  <si>
    <r>
      <t>Soortelijk gewicht (ton/m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</si>
  <si>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Humificatieco</t>
    </r>
    <r>
      <rPr>
        <sz val="11"/>
        <color theme="1"/>
        <rFont val="Calibri"/>
        <family val="2"/>
        <scheme val="minor"/>
      </rPr>
      <t>ëfficiënt</t>
    </r>
  </si>
  <si>
    <r>
      <t>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(kg/ton)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</si>
  <si>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(kg/ton)</t>
    </r>
  </si>
  <si>
    <r>
      <t>Soortelijk gewicht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</si>
  <si>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Databank samenstelling meststoffen</t>
  </si>
  <si>
    <t>PPO, LBI, Agrifirm, december 2011</t>
  </si>
  <si>
    <t>Spuiloog/spuiwater</t>
  </si>
  <si>
    <t>Spuiloog chemische luchtwassers</t>
  </si>
  <si>
    <t>35-45</t>
  </si>
  <si>
    <t>Mestac</t>
  </si>
  <si>
    <t>Varkensbedrijf Vredepeel</t>
  </si>
  <si>
    <t>Graslandproef L'stad 2011</t>
  </si>
  <si>
    <t>herkomst CZAV Dinteloord</t>
  </si>
  <si>
    <t>10-60</t>
  </si>
  <si>
    <t>Mestverwerken.wur.nl</t>
  </si>
  <si>
    <t>Minerale reststromen</t>
  </si>
  <si>
    <t>Mestsoort/herkomst</t>
  </si>
  <si>
    <t>herkomst CZAV Dinteloord / Kumac</t>
  </si>
  <si>
    <t>Een varkensbedrijf te Vredepeel</t>
  </si>
  <si>
    <t>gebruikt in aardappelproeven PPO/PRI</t>
  </si>
  <si>
    <t>Analyse Agrifirm</t>
  </si>
  <si>
    <r>
      <t>SO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(kg/ton)</t>
    </r>
  </si>
  <si>
    <t>werkblad "Spuiwater" in dit document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</si>
</sst>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147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164" fontId="6" fillId="0" borderId="0" xfId="0" applyNumberFormat="1" applyFont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0" fillId="0" borderId="0" xfId="0" applyBorder="1" applyAlignment="1">
      <alignment horizontal="center"/>
    </xf>
    <xf numFmtId="9" fontId="0" fillId="0" borderId="0" xfId="1" applyFont="1"/>
    <xf numFmtId="164" fontId="0" fillId="0" borderId="0" xfId="0" applyNumberFormat="1" applyFont="1"/>
    <xf numFmtId="0" fontId="9" fillId="0" borderId="0" xfId="0" applyFont="1"/>
    <xf numFmtId="0" fontId="0" fillId="0" borderId="1" xfId="0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Alignment="1"/>
    <xf numFmtId="0" fontId="0" fillId="0" borderId="0" xfId="0" applyFill="1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164" fontId="0" fillId="0" borderId="0" xfId="0" applyNumberFormat="1" applyBorder="1" applyAlignment="1">
      <alignment horizontal="right" vertical="top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Border="1"/>
    <xf numFmtId="9" fontId="0" fillId="0" borderId="0" xfId="1" applyFont="1" applyBorder="1"/>
    <xf numFmtId="164" fontId="0" fillId="0" borderId="0" xfId="0" applyNumberFormat="1" applyFont="1" applyBorder="1"/>
    <xf numFmtId="0" fontId="9" fillId="0" borderId="0" xfId="0" applyFont="1" applyBorder="1"/>
    <xf numFmtId="1" fontId="0" fillId="0" borderId="0" xfId="0" applyNumberFormat="1" applyBorder="1"/>
    <xf numFmtId="0" fontId="0" fillId="0" borderId="0" xfId="0" applyFont="1" applyBorder="1"/>
    <xf numFmtId="14" fontId="0" fillId="0" borderId="0" xfId="0" applyNumberFormat="1" applyBorder="1"/>
    <xf numFmtId="0" fontId="0" fillId="0" borderId="1" xfId="0" applyBorder="1"/>
    <xf numFmtId="0" fontId="0" fillId="0" borderId="0" xfId="0" applyBorder="1" applyAlignment="1"/>
    <xf numFmtId="0" fontId="8" fillId="0" borderId="0" xfId="0" applyFont="1" applyBorder="1" applyAlignment="1">
      <alignment horizontal="right"/>
    </xf>
    <xf numFmtId="0" fontId="5" fillId="0" borderId="0" xfId="0" applyFont="1" applyBorder="1"/>
    <xf numFmtId="165" fontId="0" fillId="0" borderId="0" xfId="0" applyNumberFormat="1" applyBorder="1"/>
    <xf numFmtId="0" fontId="10" fillId="0" borderId="0" xfId="0" applyFont="1" applyBorder="1"/>
    <xf numFmtId="0" fontId="0" fillId="0" borderId="0" xfId="0" applyFill="1" applyBorder="1"/>
    <xf numFmtId="1" fontId="0" fillId="0" borderId="0" xfId="0" applyNumberFormat="1" applyFill="1" applyBorder="1"/>
    <xf numFmtId="17" fontId="0" fillId="0" borderId="0" xfId="0" quotePrefix="1" applyNumberFormat="1" applyBorder="1" applyAlignment="1">
      <alignment horizontal="right"/>
    </xf>
    <xf numFmtId="0" fontId="13" fillId="0" borderId="0" xfId="0" applyFont="1" applyFill="1" applyBorder="1" applyAlignment="1" applyProtection="1">
      <alignment vertical="center"/>
    </xf>
    <xf numFmtId="0" fontId="0" fillId="2" borderId="0" xfId="0" applyFill="1" applyBorder="1" applyAlignment="1">
      <alignment horizontal="right" vertical="top" wrapText="1"/>
    </xf>
    <xf numFmtId="0" fontId="14" fillId="0" borderId="0" xfId="0" applyFont="1" applyFill="1" applyBorder="1" applyAlignment="1" applyProtection="1">
      <alignment vertical="center"/>
    </xf>
    <xf numFmtId="0" fontId="9" fillId="0" borderId="0" xfId="0" applyFont="1" applyBorder="1" applyAlignment="1">
      <alignment vertical="top"/>
    </xf>
    <xf numFmtId="1" fontId="0" fillId="0" borderId="0" xfId="0" applyNumberFormat="1" applyBorder="1" applyAlignment="1">
      <alignment horizontal="right" vertical="top"/>
    </xf>
    <xf numFmtId="9" fontId="0" fillId="0" borderId="0" xfId="1" applyFont="1" applyBorder="1" applyAlignment="1">
      <alignment horizontal="right" vertical="top"/>
    </xf>
    <xf numFmtId="165" fontId="16" fillId="0" borderId="0" xfId="0" applyNumberFormat="1" applyFont="1"/>
    <xf numFmtId="165" fontId="16" fillId="0" borderId="0" xfId="0" applyNumberFormat="1" applyFont="1" applyFill="1"/>
    <xf numFmtId="0" fontId="15" fillId="0" borderId="0" xfId="0" applyFont="1"/>
    <xf numFmtId="1" fontId="17" fillId="0" borderId="0" xfId="0" applyNumberFormat="1" applyFont="1"/>
    <xf numFmtId="2" fontId="15" fillId="0" borderId="0" xfId="0" applyNumberFormat="1" applyFont="1"/>
    <xf numFmtId="0" fontId="16" fillId="0" borderId="0" xfId="0" applyFont="1"/>
    <xf numFmtId="165" fontId="15" fillId="0" borderId="0" xfId="0" applyNumberFormat="1" applyFont="1"/>
    <xf numFmtId="164" fontId="17" fillId="0" borderId="0" xfId="0" applyNumberFormat="1" applyFont="1"/>
    <xf numFmtId="9" fontId="17" fillId="0" borderId="0" xfId="1" applyFont="1"/>
    <xf numFmtId="0" fontId="17" fillId="0" borderId="0" xfId="0" applyFont="1"/>
    <xf numFmtId="1" fontId="16" fillId="0" borderId="0" xfId="0" applyNumberFormat="1" applyFont="1"/>
    <xf numFmtId="0" fontId="18" fillId="0" borderId="0" xfId="0" applyFont="1"/>
    <xf numFmtId="165" fontId="17" fillId="0" borderId="0" xfId="0" applyNumberFormat="1" applyFont="1"/>
    <xf numFmtId="2" fontId="18" fillId="0" borderId="0" xfId="0" applyNumberFormat="1" applyFont="1"/>
    <xf numFmtId="0" fontId="0" fillId="2" borderId="0" xfId="0" applyFill="1"/>
    <xf numFmtId="2" fontId="0" fillId="2" borderId="0" xfId="0" applyNumberFormat="1" applyFill="1"/>
    <xf numFmtId="2" fontId="0" fillId="0" borderId="0" xfId="0" applyNumberFormat="1"/>
    <xf numFmtId="0" fontId="9" fillId="2" borderId="0" xfId="0" applyFont="1" applyFill="1"/>
    <xf numFmtId="164" fontId="0" fillId="2" borderId="0" xfId="0" applyNumberFormat="1" applyFill="1"/>
    <xf numFmtId="2" fontId="0" fillId="0" borderId="0" xfId="0" applyNumberFormat="1" applyFill="1" applyBorder="1"/>
    <xf numFmtId="164" fontId="0" fillId="0" borderId="0" xfId="0" applyNumberFormat="1" applyBorder="1" applyAlignment="1">
      <alignment horizontal="right" vertical="top" wrapText="1"/>
    </xf>
    <xf numFmtId="2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 vertical="top" wrapText="1"/>
    </xf>
    <xf numFmtId="164" fontId="0" fillId="2" borderId="0" xfId="0" applyNumberFormat="1" applyFont="1" applyFill="1"/>
    <xf numFmtId="9" fontId="0" fillId="0" borderId="0" xfId="1" applyFont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2" fontId="0" fillId="0" borderId="0" xfId="0" applyNumberFormat="1" applyFill="1"/>
    <xf numFmtId="0" fontId="0" fillId="0" borderId="0" xfId="0" applyFont="1" applyFill="1"/>
    <xf numFmtId="164" fontId="6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/>
    <xf numFmtId="164" fontId="0" fillId="0" borderId="0" xfId="0" applyNumberFormat="1" applyFill="1"/>
    <xf numFmtId="164" fontId="18" fillId="0" borderId="0" xfId="0" applyNumberFormat="1" applyFont="1" applyFill="1"/>
    <xf numFmtId="2" fontId="18" fillId="0" borderId="0" xfId="0" applyNumberFormat="1" applyFont="1" applyFill="1"/>
    <xf numFmtId="164" fontId="0" fillId="0" borderId="0" xfId="0" applyNumberFormat="1" applyFill="1" applyBorder="1"/>
    <xf numFmtId="0" fontId="19" fillId="0" borderId="0" xfId="0" applyFont="1"/>
    <xf numFmtId="0" fontId="20" fillId="3" borderId="2" xfId="0" applyFont="1" applyFill="1" applyBorder="1"/>
    <xf numFmtId="0" fontId="20" fillId="3" borderId="0" xfId="0" applyFont="1" applyFill="1"/>
    <xf numFmtId="0" fontId="19" fillId="4" borderId="2" xfId="0" applyFont="1" applyFill="1" applyBorder="1"/>
    <xf numFmtId="0" fontId="19" fillId="0" borderId="8" xfId="0" applyFont="1" applyBorder="1"/>
    <xf numFmtId="0" fontId="19" fillId="0" borderId="2" xfId="0" applyFont="1" applyBorder="1"/>
    <xf numFmtId="164" fontId="19" fillId="0" borderId="2" xfId="0" applyNumberFormat="1" applyFont="1" applyBorder="1" applyAlignment="1">
      <alignment horizontal="right"/>
    </xf>
    <xf numFmtId="0" fontId="19" fillId="0" borderId="3" xfId="0" applyFont="1" applyBorder="1"/>
    <xf numFmtId="164" fontId="19" fillId="0" borderId="3" xfId="0" applyNumberFormat="1" applyFont="1" applyBorder="1" applyAlignment="1">
      <alignment horizontal="right"/>
    </xf>
    <xf numFmtId="0" fontId="19" fillId="0" borderId="5" xfId="0" applyFont="1" applyBorder="1"/>
    <xf numFmtId="164" fontId="19" fillId="0" borderId="5" xfId="0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164" fontId="19" fillId="0" borderId="2" xfId="0" applyNumberFormat="1" applyFont="1" applyBorder="1"/>
    <xf numFmtId="165" fontId="0" fillId="0" borderId="0" xfId="0" applyNumberFormat="1" applyFill="1"/>
    <xf numFmtId="0" fontId="21" fillId="0" borderId="0" xfId="2" applyFont="1" applyFill="1" applyBorder="1"/>
    <xf numFmtId="0" fontId="18" fillId="0" borderId="0" xfId="2" applyFont="1" applyFill="1" applyBorder="1" applyAlignment="1">
      <alignment vertical="top"/>
    </xf>
    <xf numFmtId="1" fontId="0" fillId="0" borderId="0" xfId="0" applyNumberFormat="1" applyFont="1"/>
    <xf numFmtId="1" fontId="12" fillId="0" borderId="0" xfId="0" applyNumberFormat="1" applyFont="1" applyFill="1" applyBorder="1" applyAlignment="1" applyProtection="1">
      <alignment horizontal="right" vertical="center"/>
    </xf>
    <xf numFmtId="0" fontId="18" fillId="0" borderId="4" xfId="2" applyFon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164" fontId="18" fillId="0" borderId="0" xfId="0" applyNumberFormat="1" applyFont="1" applyBorder="1" applyAlignment="1">
      <alignment vertical="center" wrapText="1"/>
    </xf>
    <xf numFmtId="9" fontId="18" fillId="0" borderId="0" xfId="1" applyFont="1"/>
    <xf numFmtId="164" fontId="18" fillId="0" borderId="0" xfId="0" applyNumberFormat="1" applyFont="1"/>
    <xf numFmtId="164" fontId="17" fillId="0" borderId="0" xfId="0" applyNumberFormat="1" applyFont="1" applyFill="1"/>
    <xf numFmtId="164" fontId="17" fillId="0" borderId="0" xfId="0" applyNumberFormat="1" applyFont="1" applyAlignment="1">
      <alignment vertical="center" wrapText="1"/>
    </xf>
    <xf numFmtId="0" fontId="15" fillId="0" borderId="0" xfId="0" applyFont="1" applyFill="1"/>
    <xf numFmtId="2" fontId="18" fillId="0" borderId="0" xfId="0" applyNumberFormat="1" applyFont="1" applyAlignment="1">
      <alignment horizontal="right"/>
    </xf>
    <xf numFmtId="2" fontId="22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2" fontId="2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65" fontId="0" fillId="0" borderId="0" xfId="0" applyNumberFormat="1" applyFont="1"/>
    <xf numFmtId="0" fontId="0" fillId="0" borderId="0" xfId="0" applyFont="1" applyAlignment="1">
      <alignment horizontal="right"/>
    </xf>
    <xf numFmtId="0" fontId="0" fillId="2" borderId="0" xfId="0" applyFont="1" applyFill="1"/>
    <xf numFmtId="164" fontId="0" fillId="0" borderId="0" xfId="0" applyNumberFormat="1" applyFont="1" applyFill="1"/>
    <xf numFmtId="164" fontId="0" fillId="0" borderId="0" xfId="0" applyNumberFormat="1" applyFont="1" applyFill="1" applyBorder="1"/>
    <xf numFmtId="2" fontId="0" fillId="0" borderId="0" xfId="0" applyNumberFormat="1" applyFont="1" applyFill="1" applyBorder="1"/>
    <xf numFmtId="2" fontId="0" fillId="0" borderId="0" xfId="0" applyNumberFormat="1" applyFont="1"/>
    <xf numFmtId="0" fontId="24" fillId="0" borderId="1" xfId="0" applyFont="1" applyBorder="1"/>
    <xf numFmtId="0" fontId="0" fillId="0" borderId="1" xfId="0" applyFont="1" applyBorder="1"/>
    <xf numFmtId="0" fontId="9" fillId="0" borderId="1" xfId="0" applyFont="1" applyBorder="1"/>
    <xf numFmtId="17" fontId="12" fillId="0" borderId="0" xfId="0" quotePrefix="1" applyNumberFormat="1" applyFont="1" applyFill="1" applyBorder="1" applyAlignment="1" applyProtection="1">
      <alignment horizontal="right" vertical="center"/>
    </xf>
    <xf numFmtId="0" fontId="10" fillId="0" borderId="0" xfId="0" applyFont="1"/>
    <xf numFmtId="1" fontId="0" fillId="0" borderId="0" xfId="0" applyNumberFormat="1" applyFont="1" applyFill="1"/>
    <xf numFmtId="2" fontId="12" fillId="0" borderId="0" xfId="0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</cellXfs>
  <cellStyles count="3">
    <cellStyle name="Procent" xfId="1" builtinId="5"/>
    <cellStyle name="Standaard" xfId="0" builtinId="0"/>
    <cellStyle name="Standaard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8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15" sqref="D15"/>
    </sheetView>
  </sheetViews>
  <sheetFormatPr defaultColWidth="8.85546875" defaultRowHeight="15"/>
  <cols>
    <col min="1" max="1" width="29.42578125" style="4" customWidth="1"/>
    <col min="2" max="2" width="8.7109375" style="4" bestFit="1" customWidth="1"/>
    <col min="3" max="3" width="7.5703125" style="4" bestFit="1" customWidth="1"/>
    <col min="4" max="4" width="10" style="4" customWidth="1"/>
    <col min="5" max="7" width="10.42578125" style="4" customWidth="1"/>
    <col min="8" max="8" width="8" style="4" customWidth="1"/>
    <col min="9" max="9" width="7.42578125" style="4" customWidth="1"/>
    <col min="10" max="10" width="7.7109375" style="4" customWidth="1"/>
    <col min="11" max="11" width="6.7109375" style="4" customWidth="1"/>
    <col min="12" max="12" width="7.28515625" style="4" customWidth="1"/>
    <col min="13" max="13" width="8.7109375" style="4" customWidth="1"/>
    <col min="14" max="14" width="8.85546875" style="4"/>
    <col min="15" max="15" width="4.7109375" style="4" customWidth="1"/>
    <col min="16" max="16" width="31.7109375" style="4" bestFit="1" customWidth="1"/>
    <col min="17" max="17" width="5.28515625" style="4" customWidth="1"/>
    <col min="18" max="18" width="8.7109375" style="4" customWidth="1"/>
    <col min="19" max="19" width="8.28515625" style="4" customWidth="1"/>
    <col min="20" max="20" width="10.42578125" style="4" customWidth="1"/>
    <col min="21" max="21" width="10" style="4" customWidth="1"/>
    <col min="22" max="22" width="8.140625" style="4" customWidth="1"/>
    <col min="23" max="24" width="7.42578125" style="4" customWidth="1"/>
    <col min="25" max="26" width="8.85546875" style="4"/>
    <col min="27" max="27" width="2.85546875" style="4" customWidth="1"/>
    <col min="28" max="16384" width="8.85546875" style="4"/>
  </cols>
  <sheetData>
    <row r="1" spans="1:28" s="136" customFormat="1" ht="21">
      <c r="A1" s="135" t="s">
        <v>370</v>
      </c>
      <c r="P1" s="137" t="s">
        <v>371</v>
      </c>
    </row>
    <row r="2" spans="1:28">
      <c r="B2" s="142" t="s">
        <v>10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24"/>
      <c r="P2" s="125" t="s">
        <v>38</v>
      </c>
      <c r="R2" s="142" t="s">
        <v>11</v>
      </c>
      <c r="S2" s="142"/>
      <c r="T2" s="142"/>
      <c r="U2" s="142"/>
      <c r="V2" s="142"/>
      <c r="W2" s="142"/>
      <c r="X2" s="142"/>
      <c r="Y2" s="142"/>
      <c r="Z2" s="142"/>
      <c r="AB2" s="4" t="s">
        <v>38</v>
      </c>
    </row>
    <row r="3" spans="1:28" s="127" customFormat="1" ht="62.25">
      <c r="A3" s="126" t="s">
        <v>0</v>
      </c>
      <c r="B3" s="122" t="s">
        <v>365</v>
      </c>
      <c r="C3" s="122" t="s">
        <v>1</v>
      </c>
      <c r="D3" s="122" t="s">
        <v>2</v>
      </c>
      <c r="E3" s="122" t="s">
        <v>366</v>
      </c>
      <c r="F3" s="122" t="s">
        <v>364</v>
      </c>
      <c r="G3" s="122" t="s">
        <v>9</v>
      </c>
      <c r="H3" s="122" t="s">
        <v>3</v>
      </c>
      <c r="I3" s="122" t="s">
        <v>4</v>
      </c>
      <c r="J3" s="122" t="s">
        <v>5</v>
      </c>
      <c r="K3" s="122" t="s">
        <v>12</v>
      </c>
      <c r="L3" s="122" t="s">
        <v>40</v>
      </c>
      <c r="M3" s="122" t="s">
        <v>367</v>
      </c>
      <c r="N3" s="122" t="s">
        <v>368</v>
      </c>
      <c r="O3" s="122"/>
      <c r="P3" s="122"/>
      <c r="Q3" s="126"/>
      <c r="R3" s="122" t="s">
        <v>369</v>
      </c>
      <c r="S3" s="122" t="s">
        <v>1</v>
      </c>
      <c r="T3" s="122" t="s">
        <v>2</v>
      </c>
      <c r="U3" s="122" t="s">
        <v>9</v>
      </c>
      <c r="V3" s="122" t="s">
        <v>3</v>
      </c>
      <c r="W3" s="122" t="s">
        <v>4</v>
      </c>
      <c r="X3" s="122" t="s">
        <v>5</v>
      </c>
      <c r="Y3" s="122" t="s">
        <v>367</v>
      </c>
      <c r="Z3" s="122" t="s">
        <v>368</v>
      </c>
    </row>
    <row r="4" spans="1:28">
      <c r="A4" s="3" t="s">
        <v>13</v>
      </c>
    </row>
    <row r="5" spans="1:28">
      <c r="A5" s="4" t="s">
        <v>14</v>
      </c>
      <c r="B5" s="128">
        <v>1.0049999999999999</v>
      </c>
      <c r="C5" s="4">
        <v>85</v>
      </c>
      <c r="D5" s="4">
        <v>64</v>
      </c>
      <c r="E5" s="123">
        <v>0.7</v>
      </c>
      <c r="F5" s="123">
        <v>3.17</v>
      </c>
      <c r="G5" s="61">
        <v>500</v>
      </c>
      <c r="H5" s="5">
        <v>4.0999999999999996</v>
      </c>
      <c r="I5" s="5">
        <v>2</v>
      </c>
      <c r="J5" s="5">
        <v>2.1</v>
      </c>
      <c r="K5" s="11">
        <f t="shared" ref="K5:K11" si="0">J5/H5</f>
        <v>0.51219512195121952</v>
      </c>
      <c r="L5" s="12">
        <f t="shared" ref="L5:L11" si="1">D5*0.5/J5</f>
        <v>15.238095238095237</v>
      </c>
      <c r="M5" s="5">
        <v>1.5</v>
      </c>
      <c r="N5" s="5">
        <v>5.8</v>
      </c>
      <c r="O5" s="5"/>
      <c r="P5" s="4" t="s">
        <v>237</v>
      </c>
      <c r="S5" s="4">
        <v>43</v>
      </c>
      <c r="T5" s="4">
        <v>18</v>
      </c>
      <c r="V5" s="4">
        <v>0.5</v>
      </c>
      <c r="W5" s="12">
        <v>0.5</v>
      </c>
      <c r="X5" s="4">
        <v>0.9</v>
      </c>
      <c r="Y5" s="4">
        <v>1.5</v>
      </c>
      <c r="Z5" s="4">
        <v>1.2</v>
      </c>
      <c r="AB5" s="4" t="s">
        <v>253</v>
      </c>
    </row>
    <row r="6" spans="1:28">
      <c r="A6" s="4" t="s">
        <v>343</v>
      </c>
      <c r="B6" s="128"/>
      <c r="C6" s="62">
        <f>'Biologische mest'!C144</f>
        <v>81.935714285714283</v>
      </c>
      <c r="D6" s="62">
        <f>'Biologische mest'!D144</f>
        <v>60.211428571428577</v>
      </c>
      <c r="E6" s="123">
        <v>0.7</v>
      </c>
      <c r="F6" s="123">
        <v>3.17</v>
      </c>
      <c r="G6" s="61">
        <v>500</v>
      </c>
      <c r="H6" s="66">
        <f>'Biologische mest'!G144</f>
        <v>3.6319285714285718</v>
      </c>
      <c r="I6" s="66">
        <f>'Biologische mest'!H144</f>
        <v>1.7396694214876034</v>
      </c>
      <c r="J6" s="66">
        <f>H6-I6</f>
        <v>1.8922591499409684</v>
      </c>
      <c r="K6" s="67">
        <f t="shared" ref="K6" si="2">J6/H6</f>
        <v>0.52100670834412166</v>
      </c>
      <c r="L6" s="66">
        <f t="shared" ref="L6" si="3">D6*0.5/J6</f>
        <v>15.909931938579067</v>
      </c>
      <c r="M6" s="66">
        <f>'Biologische mest'!L144</f>
        <v>1.4889999999999994</v>
      </c>
      <c r="N6" s="66">
        <f>'Biologische mest'!M144</f>
        <v>6.0382352941176451</v>
      </c>
      <c r="O6" s="5"/>
      <c r="P6" s="4" t="s">
        <v>344</v>
      </c>
      <c r="S6" s="110">
        <f>'Biologische mest'!C145</f>
        <v>20.039245923536328</v>
      </c>
      <c r="T6" s="110">
        <f>'Biologische mest'!D145</f>
        <v>16.869260647077375</v>
      </c>
      <c r="V6" s="12">
        <f>'Biologische mest'!G145</f>
        <v>0.84055813628372078</v>
      </c>
      <c r="W6" s="12">
        <f>'Biologische mest'!H145</f>
        <v>0.45725254488866712</v>
      </c>
      <c r="X6" s="12">
        <f>'Biologische mest'!I145</f>
        <v>0.59426320795635668</v>
      </c>
      <c r="Y6" s="12">
        <f>'Biologische mest'!L145</f>
        <v>0.50012559573650295</v>
      </c>
      <c r="Z6" s="12">
        <f>'Biologische mest'!M145</f>
        <v>1.0891422941100051</v>
      </c>
      <c r="AB6" s="4" t="s">
        <v>344</v>
      </c>
    </row>
    <row r="7" spans="1:28">
      <c r="A7" s="4" t="s">
        <v>15</v>
      </c>
      <c r="B7" s="128">
        <v>1.04</v>
      </c>
      <c r="C7" s="4">
        <v>93</v>
      </c>
      <c r="D7" s="4">
        <v>43</v>
      </c>
      <c r="E7" s="123">
        <v>0.33</v>
      </c>
      <c r="F7" s="123">
        <v>1.36</v>
      </c>
      <c r="G7" s="61">
        <v>500</v>
      </c>
      <c r="H7" s="5">
        <v>7.1</v>
      </c>
      <c r="I7" s="5">
        <v>4.5999999999999996</v>
      </c>
      <c r="J7" s="5">
        <v>2.5</v>
      </c>
      <c r="K7" s="11">
        <f t="shared" si="0"/>
        <v>0.35211267605633806</v>
      </c>
      <c r="L7" s="12">
        <f t="shared" si="1"/>
        <v>8.6</v>
      </c>
      <c r="M7" s="5">
        <v>4.5999999999999996</v>
      </c>
      <c r="N7" s="5">
        <v>5.8</v>
      </c>
      <c r="O7" s="5"/>
      <c r="P7" s="4" t="s">
        <v>237</v>
      </c>
      <c r="S7" s="4">
        <v>84</v>
      </c>
      <c r="T7" s="4">
        <v>24</v>
      </c>
      <c r="V7" s="4">
        <v>2.4</v>
      </c>
      <c r="W7" s="4">
        <v>1.1000000000000001</v>
      </c>
      <c r="X7" s="12">
        <v>1</v>
      </c>
      <c r="Y7" s="4">
        <v>3.2</v>
      </c>
      <c r="Z7" s="4">
        <v>1.6</v>
      </c>
      <c r="AB7" s="4" t="s">
        <v>253</v>
      </c>
    </row>
    <row r="8" spans="1:28">
      <c r="A8" s="4" t="s">
        <v>16</v>
      </c>
      <c r="B8" s="59">
        <v>1</v>
      </c>
      <c r="C8" s="4">
        <v>67</v>
      </c>
      <c r="D8" s="4">
        <v>25</v>
      </c>
      <c r="E8" s="123">
        <v>0.34</v>
      </c>
      <c r="F8" s="123">
        <v>1.39</v>
      </c>
      <c r="G8" s="61">
        <v>500</v>
      </c>
      <c r="H8" s="5">
        <v>5</v>
      </c>
      <c r="I8" s="5">
        <v>3.3</v>
      </c>
      <c r="J8" s="5">
        <v>1.7</v>
      </c>
      <c r="K8" s="11">
        <f t="shared" si="0"/>
        <v>0.33999999999999997</v>
      </c>
      <c r="L8" s="12">
        <f t="shared" si="1"/>
        <v>7.3529411764705888</v>
      </c>
      <c r="M8" s="5">
        <v>3.5</v>
      </c>
      <c r="N8" s="5">
        <v>4.9000000000000004</v>
      </c>
      <c r="O8" s="5"/>
      <c r="P8" s="4" t="s">
        <v>237</v>
      </c>
      <c r="S8" s="4">
        <v>97</v>
      </c>
      <c r="T8" s="4">
        <v>20</v>
      </c>
      <c r="V8" s="4">
        <v>2.7</v>
      </c>
      <c r="W8" s="4">
        <v>0.8</v>
      </c>
      <c r="X8" s="12">
        <v>0.6</v>
      </c>
      <c r="Y8" s="4">
        <v>3.7</v>
      </c>
      <c r="Z8" s="4">
        <v>1.9</v>
      </c>
      <c r="AB8" s="4" t="s">
        <v>253</v>
      </c>
    </row>
    <row r="9" spans="1:28">
      <c r="A9" s="4" t="s">
        <v>227</v>
      </c>
      <c r="B9" s="59">
        <v>1</v>
      </c>
      <c r="C9" s="4">
        <v>94</v>
      </c>
      <c r="D9" s="4">
        <v>71</v>
      </c>
      <c r="E9" s="123">
        <v>0.7</v>
      </c>
      <c r="F9" s="123">
        <v>3.17</v>
      </c>
      <c r="G9" s="61">
        <v>500</v>
      </c>
      <c r="H9" s="5">
        <v>5.6</v>
      </c>
      <c r="I9" s="5">
        <v>3</v>
      </c>
      <c r="J9" s="5">
        <v>2.6</v>
      </c>
      <c r="K9" s="11">
        <f t="shared" si="0"/>
        <v>0.46428571428571436</v>
      </c>
      <c r="L9" s="12">
        <f t="shared" si="1"/>
        <v>13.653846153846153</v>
      </c>
      <c r="M9" s="5">
        <v>2.6</v>
      </c>
      <c r="N9" s="5">
        <v>5</v>
      </c>
      <c r="O9" s="5"/>
      <c r="P9" s="4" t="s">
        <v>237</v>
      </c>
      <c r="S9" s="4">
        <v>102</v>
      </c>
      <c r="T9" s="4">
        <v>90</v>
      </c>
      <c r="V9" s="4">
        <v>2.9</v>
      </c>
      <c r="W9" s="4">
        <v>0.9</v>
      </c>
      <c r="X9" s="12">
        <v>1</v>
      </c>
      <c r="Y9" s="4">
        <v>2.8</v>
      </c>
      <c r="Z9" s="4">
        <v>2.1</v>
      </c>
      <c r="AB9" s="4" t="s">
        <v>253</v>
      </c>
    </row>
    <row r="10" spans="1:28">
      <c r="A10" s="4" t="s">
        <v>228</v>
      </c>
      <c r="B10" s="59">
        <v>1</v>
      </c>
      <c r="C10" s="4">
        <v>22</v>
      </c>
      <c r="D10" s="13">
        <v>17</v>
      </c>
      <c r="E10" s="123">
        <v>0.7</v>
      </c>
      <c r="F10" s="123">
        <v>3.17</v>
      </c>
      <c r="G10" s="61">
        <v>500</v>
      </c>
      <c r="H10" s="5">
        <v>2.6</v>
      </c>
      <c r="I10" s="5">
        <v>2.1</v>
      </c>
      <c r="J10" s="5">
        <v>0.5</v>
      </c>
      <c r="K10" s="11">
        <f t="shared" si="0"/>
        <v>0.19230769230769229</v>
      </c>
      <c r="L10" s="12">
        <f t="shared" si="1"/>
        <v>17</v>
      </c>
      <c r="M10" s="5">
        <v>1.1000000000000001</v>
      </c>
      <c r="N10" s="5">
        <v>4.5</v>
      </c>
      <c r="O10" s="5"/>
      <c r="P10" s="4" t="s">
        <v>237</v>
      </c>
      <c r="S10" s="4">
        <v>16</v>
      </c>
      <c r="T10" s="4">
        <v>60</v>
      </c>
      <c r="V10" s="4">
        <v>0.8</v>
      </c>
      <c r="W10" s="129"/>
      <c r="X10" s="129"/>
      <c r="Y10" s="4">
        <v>2.2999999999999998</v>
      </c>
      <c r="Z10" s="4">
        <v>0.8</v>
      </c>
      <c r="AB10" s="4" t="s">
        <v>253</v>
      </c>
    </row>
    <row r="11" spans="1:28">
      <c r="A11" s="4" t="s">
        <v>17</v>
      </c>
      <c r="B11" s="128">
        <v>1.02</v>
      </c>
      <c r="C11" s="4">
        <v>145</v>
      </c>
      <c r="D11" s="4">
        <v>93</v>
      </c>
      <c r="E11" s="123">
        <v>0.33</v>
      </c>
      <c r="F11" s="123">
        <v>1.36</v>
      </c>
      <c r="G11" s="61">
        <v>500</v>
      </c>
      <c r="H11" s="5">
        <v>10.199999999999999</v>
      </c>
      <c r="I11" s="5">
        <v>5.8</v>
      </c>
      <c r="J11" s="5">
        <v>4.4000000000000004</v>
      </c>
      <c r="K11" s="11">
        <f t="shared" si="0"/>
        <v>0.43137254901960792</v>
      </c>
      <c r="L11" s="12">
        <f t="shared" si="1"/>
        <v>10.568181818181817</v>
      </c>
      <c r="M11" s="5">
        <v>7.8</v>
      </c>
      <c r="N11" s="5">
        <v>6.4</v>
      </c>
      <c r="O11" s="5"/>
      <c r="P11" s="4" t="s">
        <v>238</v>
      </c>
    </row>
    <row r="12" spans="1:28">
      <c r="B12" s="128"/>
      <c r="H12" s="5"/>
      <c r="I12" s="5"/>
      <c r="J12" s="5"/>
      <c r="M12" s="5"/>
      <c r="N12" s="5"/>
      <c r="O12" s="5"/>
    </row>
    <row r="13" spans="1:28">
      <c r="A13" s="3" t="s">
        <v>18</v>
      </c>
      <c r="B13" s="128"/>
      <c r="H13" s="5"/>
      <c r="I13" s="5"/>
      <c r="J13" s="5"/>
      <c r="M13" s="5"/>
      <c r="N13" s="5"/>
      <c r="O13" s="5"/>
    </row>
    <row r="14" spans="1:28">
      <c r="A14" s="4" t="s">
        <v>14</v>
      </c>
      <c r="B14" s="128">
        <v>1.03</v>
      </c>
      <c r="C14" s="4">
        <v>25</v>
      </c>
      <c r="D14" s="4">
        <v>10</v>
      </c>
      <c r="E14" s="121">
        <v>0.7</v>
      </c>
      <c r="F14" s="121">
        <v>3.17</v>
      </c>
      <c r="G14" s="61">
        <v>500</v>
      </c>
      <c r="H14" s="5">
        <v>4</v>
      </c>
      <c r="I14" s="5">
        <v>3.8</v>
      </c>
      <c r="J14" s="5">
        <v>0.2</v>
      </c>
      <c r="K14" s="11">
        <f>J14/H14</f>
        <v>0.05</v>
      </c>
      <c r="L14" s="12">
        <f>D14*0.5/J14</f>
        <v>25</v>
      </c>
      <c r="M14" s="5">
        <v>0.2</v>
      </c>
      <c r="N14" s="5">
        <v>8</v>
      </c>
      <c r="O14" s="5"/>
      <c r="P14" s="4" t="s">
        <v>237</v>
      </c>
    </row>
    <row r="15" spans="1:28">
      <c r="A15" s="4" t="s">
        <v>343</v>
      </c>
      <c r="B15" s="128"/>
      <c r="C15" s="110">
        <f>'Biologische mest'!C155</f>
        <v>25.8</v>
      </c>
      <c r="D15" s="110">
        <f>'Biologische mest'!D155</f>
        <v>14.2</v>
      </c>
      <c r="E15" s="121">
        <v>0.7</v>
      </c>
      <c r="F15" s="121">
        <v>3.17</v>
      </c>
      <c r="G15" s="61">
        <v>500</v>
      </c>
      <c r="H15" s="5">
        <f>'Biologische mest'!G155</f>
        <v>1.8</v>
      </c>
      <c r="I15" s="5">
        <f>'Biologische mest'!H155</f>
        <v>1.125</v>
      </c>
      <c r="J15" s="5">
        <f>'Biologische mest'!I155</f>
        <v>0.64999999999999991</v>
      </c>
      <c r="K15" s="11">
        <f>J15/H15</f>
        <v>0.36111111111111105</v>
      </c>
      <c r="L15" s="12">
        <f>D15*0.5/J15</f>
        <v>10.923076923076923</v>
      </c>
      <c r="M15" s="5">
        <f>'Biologische mest'!L155</f>
        <v>0.45999999999999996</v>
      </c>
      <c r="N15" s="5">
        <f>'Biologische mest'!M155</f>
        <v>5.5600000000000005</v>
      </c>
      <c r="O15" s="5"/>
      <c r="P15" s="4" t="s">
        <v>344</v>
      </c>
    </row>
    <row r="16" spans="1:28">
      <c r="A16" s="4" t="s">
        <v>15</v>
      </c>
      <c r="B16" s="128">
        <v>1.01</v>
      </c>
      <c r="C16" s="4">
        <v>20</v>
      </c>
      <c r="D16" s="4">
        <v>5</v>
      </c>
      <c r="E16" s="121">
        <v>0.33</v>
      </c>
      <c r="F16" s="121">
        <v>1.36</v>
      </c>
      <c r="G16" s="61">
        <v>500</v>
      </c>
      <c r="H16" s="6">
        <v>6.5</v>
      </c>
      <c r="I16" s="6">
        <v>6.1</v>
      </c>
      <c r="J16" s="6">
        <v>0.4</v>
      </c>
      <c r="K16" s="11">
        <f>J16/H16</f>
        <v>6.1538461538461542E-2</v>
      </c>
      <c r="L16" s="12">
        <f>D16*0.5/J16</f>
        <v>6.25</v>
      </c>
      <c r="M16" s="6">
        <v>0.9</v>
      </c>
      <c r="N16" s="6">
        <v>4.5</v>
      </c>
      <c r="O16" s="6"/>
      <c r="P16" s="4" t="s">
        <v>237</v>
      </c>
    </row>
    <row r="17" spans="1:28">
      <c r="A17" s="4" t="s">
        <v>16</v>
      </c>
      <c r="B17" s="60">
        <v>1.02</v>
      </c>
      <c r="C17" s="4">
        <v>10</v>
      </c>
      <c r="D17" s="4">
        <v>10</v>
      </c>
      <c r="E17" s="121">
        <v>0.34</v>
      </c>
      <c r="F17" s="121">
        <v>1.39</v>
      </c>
      <c r="G17" s="61">
        <v>500</v>
      </c>
      <c r="H17" s="6">
        <v>2</v>
      </c>
      <c r="I17" s="6">
        <v>1.9</v>
      </c>
      <c r="J17" s="6">
        <v>0.1</v>
      </c>
      <c r="K17" s="11">
        <f>J17/H17</f>
        <v>0.05</v>
      </c>
      <c r="L17" s="12">
        <f>D17*0.5/J17</f>
        <v>50</v>
      </c>
      <c r="M17" s="6">
        <v>0.9</v>
      </c>
      <c r="N17" s="6">
        <v>2.5</v>
      </c>
      <c r="O17" s="6"/>
      <c r="P17" s="4" t="s">
        <v>237</v>
      </c>
    </row>
    <row r="18" spans="1:28">
      <c r="B18" s="128"/>
      <c r="H18" s="6"/>
      <c r="I18" s="6"/>
      <c r="J18" s="6"/>
      <c r="M18" s="6"/>
      <c r="N18" s="6"/>
      <c r="O18" s="6"/>
    </row>
    <row r="19" spans="1:28">
      <c r="A19" s="3" t="s">
        <v>32</v>
      </c>
      <c r="B19" s="128"/>
      <c r="H19" s="6"/>
      <c r="I19" s="6"/>
      <c r="J19" s="6"/>
      <c r="M19" s="6"/>
      <c r="N19" s="6"/>
      <c r="O19" s="6"/>
    </row>
    <row r="20" spans="1:28">
      <c r="A20" s="4" t="s">
        <v>224</v>
      </c>
      <c r="B20" s="128"/>
      <c r="C20" s="62">
        <f>ROUND('Dunne fractie'!D20,0)</f>
        <v>30</v>
      </c>
      <c r="D20" s="62">
        <f>ROUND('Dunne fractie'!E20,0)</f>
        <v>15</v>
      </c>
      <c r="E20" s="63">
        <v>0.33</v>
      </c>
      <c r="F20" s="121">
        <v>1.36</v>
      </c>
      <c r="G20" s="61">
        <v>500</v>
      </c>
      <c r="H20" s="66">
        <f>ROUND('Dunne fractie'!H20,1)</f>
        <v>4.4000000000000004</v>
      </c>
      <c r="I20" s="66">
        <f>ROUND('Dunne fractie'!I20,1)</f>
        <v>3.7</v>
      </c>
      <c r="J20" s="66">
        <f>ROUND('Dunne fractie'!J20,1)</f>
        <v>0.7</v>
      </c>
      <c r="K20" s="67">
        <f>J20/H20</f>
        <v>0.15909090909090906</v>
      </c>
      <c r="L20" s="66">
        <f>D20*0.5/J20</f>
        <v>10.714285714285715</v>
      </c>
      <c r="M20" s="66">
        <f>ROUND('Dunne fractie'!M20,1)</f>
        <v>1</v>
      </c>
      <c r="N20" s="66">
        <f>ROUND('Dunne fractie'!N20,1)</f>
        <v>5.2</v>
      </c>
      <c r="O20" s="6"/>
      <c r="P20" s="4" t="s">
        <v>215</v>
      </c>
      <c r="S20" s="110">
        <f>'Dunne fractie'!D21</f>
        <v>17.256680856643158</v>
      </c>
      <c r="T20" s="110">
        <f>'Dunne fractie'!E21</f>
        <v>8.7797271890306927</v>
      </c>
      <c r="V20" s="12">
        <f>'Dunne fractie'!H21</f>
        <v>1.4545046976011873</v>
      </c>
      <c r="W20" s="12">
        <f>'Dunne fractie'!I21</f>
        <v>0.9161128263967584</v>
      </c>
      <c r="X20" s="12">
        <f>'Dunne fractie'!J21</f>
        <v>0.3984400382155564</v>
      </c>
      <c r="Y20" s="12">
        <f>'Dunne fractie'!M21</f>
        <v>1.0299405508964836</v>
      </c>
      <c r="Z20" s="12">
        <f>'Dunne fractie'!N21</f>
        <v>1.6098821319067083</v>
      </c>
      <c r="AB20" s="4" t="s">
        <v>215</v>
      </c>
    </row>
    <row r="21" spans="1:28" ht="14.45" customHeight="1">
      <c r="A21" s="4" t="s">
        <v>223</v>
      </c>
      <c r="B21" s="128"/>
      <c r="E21" s="121">
        <v>0.7</v>
      </c>
      <c r="F21" s="121">
        <v>3.17</v>
      </c>
      <c r="G21" s="61">
        <v>500</v>
      </c>
      <c r="H21" s="6"/>
      <c r="I21" s="6"/>
      <c r="J21" s="6"/>
      <c r="M21" s="6"/>
      <c r="N21" s="6"/>
      <c r="O21" s="6"/>
    </row>
    <row r="22" spans="1:28">
      <c r="A22" s="4" t="s">
        <v>226</v>
      </c>
      <c r="B22" s="128"/>
      <c r="C22" s="110"/>
      <c r="D22" s="110"/>
      <c r="E22" s="61">
        <v>0.36</v>
      </c>
      <c r="F22" s="61">
        <v>1.44</v>
      </c>
      <c r="G22" s="61">
        <v>500</v>
      </c>
      <c r="H22" s="12"/>
      <c r="I22" s="12"/>
      <c r="J22" s="12"/>
      <c r="K22" s="11"/>
      <c r="L22" s="12"/>
      <c r="M22" s="12"/>
      <c r="N22" s="12"/>
      <c r="O22" s="6"/>
    </row>
    <row r="23" spans="1:28">
      <c r="A23" s="4" t="s">
        <v>225</v>
      </c>
      <c r="B23" s="128"/>
      <c r="C23" s="62">
        <f>ROUND('Dunne fractie'!D43,0)</f>
        <v>58</v>
      </c>
      <c r="D23" s="62">
        <f>ROUND('Dunne fractie'!E43,0)</f>
        <v>37</v>
      </c>
      <c r="E23" s="61">
        <v>0.75</v>
      </c>
      <c r="F23" s="61">
        <v>3.69</v>
      </c>
      <c r="G23" s="61">
        <v>500</v>
      </c>
      <c r="H23" s="66">
        <f>ROUND('Dunne fractie'!H43,1)</f>
        <v>4.2</v>
      </c>
      <c r="I23" s="66">
        <f>ROUND('Dunne fractie'!I43,1)</f>
        <v>2.4</v>
      </c>
      <c r="J23" s="66">
        <f>ROUND('Dunne fractie'!J43,1)</f>
        <v>1.8</v>
      </c>
      <c r="K23" s="67">
        <f>J23/H23</f>
        <v>0.42857142857142855</v>
      </c>
      <c r="L23" s="66">
        <f>D23*0.5/J23</f>
        <v>10.277777777777777</v>
      </c>
      <c r="M23" s="66">
        <f>ROUND('Dunne fractie'!M43,1)</f>
        <v>1.3</v>
      </c>
      <c r="N23" s="66">
        <f>ROUND('Dunne fractie'!N43,1)</f>
        <v>4.5999999999999996</v>
      </c>
      <c r="O23" s="6"/>
      <c r="P23" s="4" t="s">
        <v>215</v>
      </c>
    </row>
    <row r="24" spans="1:28">
      <c r="B24" s="128"/>
      <c r="H24" s="6"/>
      <c r="I24" s="6"/>
      <c r="J24" s="6"/>
      <c r="M24" s="6"/>
      <c r="N24" s="6"/>
      <c r="O24" s="6"/>
    </row>
    <row r="25" spans="1:28">
      <c r="A25" s="3" t="s">
        <v>41</v>
      </c>
      <c r="B25" s="128"/>
      <c r="H25" s="6"/>
      <c r="I25" s="6"/>
      <c r="J25" s="6"/>
      <c r="M25" s="6"/>
      <c r="N25" s="6"/>
      <c r="O25" s="6"/>
    </row>
    <row r="26" spans="1:28">
      <c r="A26" s="4" t="s">
        <v>80</v>
      </c>
      <c r="B26" s="128"/>
      <c r="C26" s="68">
        <f>ROUND(Mineralenconcentraten!D9,0)</f>
        <v>32</v>
      </c>
      <c r="D26" s="68">
        <f>ROUND(Mineralenconcentraten!E9,0)</f>
        <v>13</v>
      </c>
      <c r="E26" s="61">
        <v>0.33</v>
      </c>
      <c r="F26" s="121">
        <v>1.36</v>
      </c>
      <c r="G26" s="61">
        <v>500</v>
      </c>
      <c r="H26" s="68">
        <f>ROUND(Mineralenconcentraten!H9,1)</f>
        <v>6.7</v>
      </c>
      <c r="I26" s="66">
        <f>ROUND(Mineralenconcentraten!I9,1)</f>
        <v>6</v>
      </c>
      <c r="J26" s="68">
        <f>ROUND(Mineralenconcentraten!J9,1)</f>
        <v>0.7</v>
      </c>
      <c r="K26" s="67">
        <f>J26/H26</f>
        <v>0.1044776119402985</v>
      </c>
      <c r="L26" s="66">
        <f>D26*0.5/J26</f>
        <v>9.2857142857142865</v>
      </c>
      <c r="M26" s="68">
        <f>ROUND(Mineralenconcentraten!M9,1)</f>
        <v>0.4</v>
      </c>
      <c r="N26" s="68">
        <f>ROUND(Mineralenconcentraten!N9,1)</f>
        <v>8.5</v>
      </c>
      <c r="O26" s="6"/>
      <c r="P26" s="4" t="s">
        <v>179</v>
      </c>
    </row>
    <row r="27" spans="1:28">
      <c r="A27" s="4" t="s">
        <v>81</v>
      </c>
      <c r="B27" s="128"/>
      <c r="E27" s="63">
        <v>0.7</v>
      </c>
      <c r="F27" s="121">
        <v>3.17</v>
      </c>
      <c r="G27" s="61">
        <v>500</v>
      </c>
      <c r="I27" s="12"/>
      <c r="K27" s="11"/>
      <c r="O27" s="6"/>
    </row>
    <row r="28" spans="1:28">
      <c r="A28" s="4" t="s">
        <v>247</v>
      </c>
      <c r="B28" s="128"/>
      <c r="C28" s="68">
        <f>ROUND(Mineralenconcentraten!D15,0)</f>
        <v>29</v>
      </c>
      <c r="D28" s="68">
        <f>ROUND(Mineralenconcentraten!E15,0)</f>
        <v>11</v>
      </c>
      <c r="E28" s="61">
        <v>0.36</v>
      </c>
      <c r="F28" s="61">
        <v>1.44</v>
      </c>
      <c r="G28" s="61">
        <v>500</v>
      </c>
      <c r="H28" s="68">
        <f>ROUND(Mineralenconcentraten!H15,1)</f>
        <v>6.4</v>
      </c>
      <c r="I28" s="68">
        <f>ROUND(Mineralenconcentraten!I15,1)</f>
        <v>5.9</v>
      </c>
      <c r="J28" s="68">
        <f>ROUND(Mineralenconcentraten!J15,1)</f>
        <v>0.5</v>
      </c>
      <c r="K28" s="67">
        <f>J28/H28</f>
        <v>7.8125E-2</v>
      </c>
      <c r="L28" s="66">
        <f>D28*0.5/J28</f>
        <v>11</v>
      </c>
      <c r="M28" s="68">
        <f>ROUND(Mineralenconcentraten!M15,1)</f>
        <v>0.5</v>
      </c>
      <c r="N28" s="68">
        <f>ROUND(Mineralenconcentraten!N15,1)</f>
        <v>8.5</v>
      </c>
      <c r="O28" s="6"/>
      <c r="P28" s="4" t="s">
        <v>179</v>
      </c>
    </row>
    <row r="29" spans="1:28">
      <c r="A29" s="4" t="s">
        <v>82</v>
      </c>
      <c r="B29" s="128"/>
      <c r="C29" s="68"/>
      <c r="D29" s="68"/>
      <c r="E29" s="61">
        <v>0.75</v>
      </c>
      <c r="F29" s="61">
        <v>3.69</v>
      </c>
      <c r="G29" s="61">
        <v>500</v>
      </c>
      <c r="H29" s="66">
        <f>ROUND(Mineralenconcentraten!H19,1)</f>
        <v>11</v>
      </c>
      <c r="I29" s="66">
        <f>ROUND(Mineralenconcentraten!I19,1)</f>
        <v>10.5</v>
      </c>
      <c r="J29" s="66">
        <f>ROUND(Mineralenconcentraten!J19,1)</f>
        <v>0.5</v>
      </c>
      <c r="K29" s="67">
        <f>J29/H29</f>
        <v>4.5454545454545456E-2</v>
      </c>
      <c r="L29" s="117"/>
      <c r="M29" s="66">
        <f>ROUND(Mineralenconcentraten!M19,1)</f>
        <v>0.6</v>
      </c>
      <c r="N29" s="66">
        <f>ROUND(Mineralenconcentraten!N19,1)</f>
        <v>18.8</v>
      </c>
      <c r="O29" s="6"/>
      <c r="P29" s="4" t="s">
        <v>179</v>
      </c>
      <c r="S29" s="110"/>
    </row>
    <row r="30" spans="1:28">
      <c r="B30" s="128"/>
      <c r="H30" s="12"/>
      <c r="I30" s="12"/>
      <c r="J30" s="12"/>
      <c r="K30" s="11"/>
      <c r="L30" s="12"/>
      <c r="M30" s="12"/>
      <c r="N30" s="12"/>
      <c r="O30" s="6"/>
      <c r="S30" s="110"/>
    </row>
    <row r="31" spans="1:28">
      <c r="A31" s="3" t="s">
        <v>44</v>
      </c>
      <c r="B31" s="128"/>
      <c r="H31" s="12"/>
      <c r="I31" s="12"/>
      <c r="J31" s="12"/>
      <c r="K31" s="11"/>
      <c r="L31" s="12"/>
      <c r="M31" s="12"/>
      <c r="N31" s="12"/>
      <c r="O31" s="6"/>
      <c r="S31" s="110"/>
    </row>
    <row r="32" spans="1:28">
      <c r="A32" s="4" t="s">
        <v>63</v>
      </c>
      <c r="B32" s="62">
        <f>ROUND(Digestaat!C16,0)</f>
        <v>1030</v>
      </c>
      <c r="C32" s="62">
        <f>ROUND(Digestaat!D16,0)</f>
        <v>55</v>
      </c>
      <c r="D32" s="62">
        <f>ROUND(Digestaat!E16,0)</f>
        <v>34</v>
      </c>
      <c r="E32" s="61">
        <v>0.36</v>
      </c>
      <c r="F32" s="61">
        <v>1.44</v>
      </c>
      <c r="G32" s="61">
        <v>500</v>
      </c>
      <c r="H32" s="66">
        <f>ROUND(Digestaat!H16,1)</f>
        <v>6</v>
      </c>
      <c r="I32" s="66">
        <f>ROUND(Digestaat!I16,1)</f>
        <v>4.3</v>
      </c>
      <c r="J32" s="66">
        <f>ROUND(Digestaat!J16,1)</f>
        <v>1.7</v>
      </c>
      <c r="K32" s="67">
        <f>J32/H32</f>
        <v>0.28333333333333333</v>
      </c>
      <c r="L32" s="66">
        <f>D32*0.5/J32</f>
        <v>10</v>
      </c>
      <c r="M32" s="66">
        <f>ROUND(Digestaat!M16,1)</f>
        <v>2.9</v>
      </c>
      <c r="N32" s="66">
        <f>ROUND(Digestaat!N16,1)</f>
        <v>5</v>
      </c>
      <c r="O32" s="6"/>
      <c r="P32" s="4" t="s">
        <v>178</v>
      </c>
      <c r="R32" s="110"/>
      <c r="S32" s="110">
        <f>ROUND(Digestaat!D17,0)</f>
        <v>21</v>
      </c>
      <c r="T32" s="110">
        <f>ROUND(Digestaat!E17,0)</f>
        <v>12</v>
      </c>
      <c r="V32" s="12">
        <f>ROUND(Digestaat!H17,1)</f>
        <v>0.5</v>
      </c>
      <c r="W32" s="12">
        <f>ROUND(Digestaat!I17,1)</f>
        <v>0.3</v>
      </c>
      <c r="X32" s="12">
        <f>ROUND(Digestaat!J17,1)</f>
        <v>0.3</v>
      </c>
      <c r="Y32" s="12">
        <f>ROUND(Digestaat!M17,1)</f>
        <v>0.9</v>
      </c>
      <c r="Z32" s="12">
        <f>ROUND(Digestaat!N17,1)</f>
        <v>0.6</v>
      </c>
      <c r="AB32" s="4" t="s">
        <v>178</v>
      </c>
    </row>
    <row r="33" spans="1:28">
      <c r="A33" s="4" t="s">
        <v>88</v>
      </c>
      <c r="B33" s="128"/>
      <c r="C33" s="62">
        <f>Digestaat!D28</f>
        <v>64.350000000000009</v>
      </c>
      <c r="D33" s="62">
        <f>Digestaat!E28</f>
        <v>45.11578947368421</v>
      </c>
      <c r="E33" s="61">
        <v>0.75</v>
      </c>
      <c r="F33" s="61">
        <v>3.69</v>
      </c>
      <c r="G33" s="61">
        <v>500</v>
      </c>
      <c r="H33" s="66">
        <f>Digestaat!H28</f>
        <v>4.3525438596491233</v>
      </c>
      <c r="I33" s="66">
        <f>Digestaat!I28</f>
        <v>2.3872807017543862</v>
      </c>
      <c r="J33" s="66">
        <f>Digestaat!J28</f>
        <v>1.7515789473684209</v>
      </c>
      <c r="K33" s="67">
        <f>Digestaat!K28</f>
        <v>0.40242648985267732</v>
      </c>
      <c r="L33" s="66">
        <f>Digestaat!L28</f>
        <v>15.5</v>
      </c>
      <c r="M33" s="66">
        <f>Digestaat!M28</f>
        <v>1.7667394736842104</v>
      </c>
      <c r="N33" s="66">
        <f>Digestaat!N28</f>
        <v>5.2767719298245614</v>
      </c>
      <c r="O33" s="6"/>
      <c r="P33" s="4" t="s">
        <v>178</v>
      </c>
      <c r="S33" s="110">
        <f>Digestaat!D29</f>
        <v>26.271181930016002</v>
      </c>
      <c r="T33" s="110">
        <f>Digestaat!E29</f>
        <v>20.846517342677625</v>
      </c>
      <c r="V33" s="12">
        <f>Digestaat!H29</f>
        <v>1.5268518991926898</v>
      </c>
      <c r="W33" s="12">
        <f>Digestaat!I29</f>
        <v>0.96464563939456693</v>
      </c>
      <c r="X33" s="12">
        <f>Digestaat!J29</f>
        <v>0.78397559179597964</v>
      </c>
      <c r="Y33" s="12">
        <f>Digestaat!M29</f>
        <v>0.68366361140516874</v>
      </c>
      <c r="Z33" s="12">
        <f>Digestaat!N29</f>
        <v>0.89140185071854661</v>
      </c>
      <c r="AB33" s="4" t="s">
        <v>178</v>
      </c>
    </row>
    <row r="34" spans="1:28">
      <c r="B34" s="128"/>
      <c r="H34" s="6"/>
      <c r="I34" s="6"/>
      <c r="J34" s="6"/>
      <c r="M34" s="6"/>
      <c r="N34" s="6"/>
      <c r="O34" s="6"/>
    </row>
    <row r="35" spans="1:28">
      <c r="A35" s="3" t="s">
        <v>19</v>
      </c>
      <c r="B35" s="128"/>
      <c r="H35" s="6"/>
      <c r="I35" s="6"/>
      <c r="J35" s="6"/>
      <c r="M35" s="6"/>
      <c r="N35" s="6"/>
      <c r="O35" s="6"/>
    </row>
    <row r="36" spans="1:28">
      <c r="A36" s="4" t="s">
        <v>20</v>
      </c>
      <c r="B36" s="128">
        <v>0.9</v>
      </c>
      <c r="C36" s="4">
        <v>194</v>
      </c>
      <c r="D36" s="4">
        <v>152</v>
      </c>
      <c r="E36" s="72">
        <v>0.7</v>
      </c>
      <c r="F36" s="123">
        <v>3.17</v>
      </c>
      <c r="G36" s="61">
        <v>500</v>
      </c>
      <c r="H36" s="6">
        <v>5.3</v>
      </c>
      <c r="I36" s="6">
        <v>0.9</v>
      </c>
      <c r="J36" s="6">
        <v>4.4000000000000004</v>
      </c>
      <c r="K36" s="11">
        <f t="shared" ref="K36:K53" si="4">J36/H36</f>
        <v>0.83018867924528317</v>
      </c>
      <c r="L36" s="12">
        <f t="shared" ref="L36:L53" si="5">D36*0.5/J36</f>
        <v>17.27272727272727</v>
      </c>
      <c r="M36" s="6">
        <v>2.8</v>
      </c>
      <c r="N36" s="6">
        <v>6.1</v>
      </c>
      <c r="O36" s="6"/>
      <c r="P36" s="4" t="s">
        <v>237</v>
      </c>
      <c r="S36" s="4">
        <v>97</v>
      </c>
      <c r="T36" s="4">
        <v>99</v>
      </c>
      <c r="V36" s="12">
        <v>6.6</v>
      </c>
      <c r="W36" s="4">
        <v>0.9</v>
      </c>
      <c r="X36" s="12">
        <v>3.2</v>
      </c>
      <c r="Y36" s="4">
        <v>5.3</v>
      </c>
      <c r="Z36" s="12">
        <v>4.5999999999999996</v>
      </c>
      <c r="AB36" s="4" t="s">
        <v>253</v>
      </c>
    </row>
    <row r="37" spans="1:28">
      <c r="A37" s="4" t="s">
        <v>353</v>
      </c>
      <c r="B37" s="128"/>
      <c r="C37" s="110">
        <f>'Biologische mest'!C180</f>
        <v>235.85</v>
      </c>
      <c r="D37" s="110">
        <f>'Biologische mest'!D180</f>
        <v>139.75</v>
      </c>
      <c r="E37" s="72">
        <v>0.7</v>
      </c>
      <c r="F37" s="123">
        <v>3.17</v>
      </c>
      <c r="G37" s="61">
        <v>500</v>
      </c>
      <c r="H37" s="6">
        <f>'Biologische mest'!G180</f>
        <v>5.4099999999999993</v>
      </c>
      <c r="I37" s="6">
        <f>'Biologische mest'!H180</f>
        <v>0.99374999999999991</v>
      </c>
      <c r="J37" s="6">
        <f>'Biologische mest'!I180</f>
        <v>4.4062499999999991</v>
      </c>
      <c r="K37" s="11">
        <f t="shared" ref="K37" si="6">J37/H37</f>
        <v>0.8144639556377079</v>
      </c>
      <c r="L37" s="12">
        <f t="shared" ref="L37" si="7">D37*0.5/J37</f>
        <v>15.858156028368798</v>
      </c>
      <c r="M37" s="6">
        <f>'Biologische mest'!L180</f>
        <v>3.2350000000000003</v>
      </c>
      <c r="N37" s="6">
        <f>'Biologische mest'!M180</f>
        <v>8.7277777777777796</v>
      </c>
      <c r="O37" s="6"/>
      <c r="P37" s="4" t="s">
        <v>344</v>
      </c>
      <c r="S37" s="110">
        <f>'Biologische mest'!C181</f>
        <v>53.110882025002056</v>
      </c>
      <c r="T37" s="110">
        <f>'Biologische mest'!D181</f>
        <v>34.663609008204617</v>
      </c>
      <c r="V37" s="12">
        <f>'Biologische mest'!G181</f>
        <v>0.9678516632755606</v>
      </c>
      <c r="W37" s="12">
        <f>'Biologische mest'!H181</f>
        <v>0.45966473289416826</v>
      </c>
      <c r="X37" s="12">
        <f>'Biologische mest'!I181</f>
        <v>0.87137343697560365</v>
      </c>
      <c r="Y37" s="12">
        <f>'Biologische mest'!L181</f>
        <v>1.0027724724876266</v>
      </c>
      <c r="Z37" s="12">
        <f>'Biologische mest'!M181</f>
        <v>3.1345898606948923</v>
      </c>
      <c r="AB37" s="4" t="s">
        <v>344</v>
      </c>
    </row>
    <row r="38" spans="1:28">
      <c r="A38" s="4" t="s">
        <v>354</v>
      </c>
      <c r="B38" s="128"/>
      <c r="C38" s="110">
        <f>'Biologische mest'!C213</f>
        <v>246.96153846153845</v>
      </c>
      <c r="D38" s="110">
        <f>'Biologische mest'!D213</f>
        <v>167.34615384615384</v>
      </c>
      <c r="E38" s="72">
        <v>0.7</v>
      </c>
      <c r="F38" s="123">
        <v>3.17</v>
      </c>
      <c r="G38" s="61">
        <v>500</v>
      </c>
      <c r="H38" s="12">
        <f>'Biologische mest'!G213</f>
        <v>6.0842307692307704</v>
      </c>
      <c r="I38" s="12">
        <f>'Biologische mest'!H213</f>
        <v>1.2683569780570423</v>
      </c>
      <c r="J38" s="12">
        <f>'Biologische mest'!I213</f>
        <v>4.8081083402876645</v>
      </c>
      <c r="K38" s="11">
        <f t="shared" ref="K38" si="8">J38/H38</f>
        <v>0.79025739204424583</v>
      </c>
      <c r="L38" s="12">
        <f t="shared" ref="L38" si="9">D38*0.5/J38</f>
        <v>17.402494079006306</v>
      </c>
      <c r="M38" s="12">
        <f>'Biologische mest'!L213</f>
        <v>3.1269230769230765</v>
      </c>
      <c r="N38" s="12">
        <f>'Biologische mest'!M213</f>
        <v>9.8596153846153829</v>
      </c>
      <c r="O38" s="6"/>
      <c r="P38" s="4" t="s">
        <v>344</v>
      </c>
      <c r="S38" s="110">
        <f>'Biologische mest'!C214</f>
        <v>51.90643949972354</v>
      </c>
      <c r="T38" s="110">
        <f>'Biologische mest'!D214</f>
        <v>36.580806232440871</v>
      </c>
      <c r="V38" s="12">
        <f>'Biologische mest'!G214</f>
        <v>1.4410723037430737</v>
      </c>
      <c r="W38" s="12">
        <f>'Biologische mest'!H214</f>
        <v>0.6694120947006218</v>
      </c>
      <c r="X38" s="12">
        <f>'Biologische mest'!I214</f>
        <v>1.2109936018016563</v>
      </c>
      <c r="Y38" s="12">
        <f>'Biologische mest'!L214</f>
        <v>1.1013401626410244</v>
      </c>
      <c r="Z38" s="12">
        <f>'Biologische mest'!M214</f>
        <v>3.5010860952215772</v>
      </c>
      <c r="AB38" s="4" t="s">
        <v>344</v>
      </c>
    </row>
    <row r="39" spans="1:28">
      <c r="A39" s="4" t="s">
        <v>21</v>
      </c>
      <c r="B39" s="60">
        <v>0.8</v>
      </c>
      <c r="C39" s="4">
        <v>260</v>
      </c>
      <c r="D39" s="4">
        <v>153</v>
      </c>
      <c r="E39" s="61">
        <v>0.33</v>
      </c>
      <c r="F39" s="121">
        <v>1.36</v>
      </c>
      <c r="G39" s="61">
        <v>500</v>
      </c>
      <c r="H39" s="6">
        <v>7.9</v>
      </c>
      <c r="I39" s="6">
        <v>2.6</v>
      </c>
      <c r="J39" s="6">
        <v>5.3</v>
      </c>
      <c r="K39" s="11">
        <f t="shared" si="4"/>
        <v>0.670886075949367</v>
      </c>
      <c r="L39" s="12">
        <f t="shared" si="5"/>
        <v>14.433962264150944</v>
      </c>
      <c r="M39" s="6">
        <v>7.9</v>
      </c>
      <c r="N39" s="6">
        <v>8.5</v>
      </c>
      <c r="O39" s="6"/>
      <c r="P39" s="4" t="s">
        <v>237</v>
      </c>
      <c r="S39" s="4">
        <v>140</v>
      </c>
      <c r="T39" s="4">
        <v>43</v>
      </c>
      <c r="V39" s="130">
        <v>16.7</v>
      </c>
      <c r="W39" s="4">
        <v>1.1000000000000001</v>
      </c>
      <c r="X39" s="4">
        <v>1.6</v>
      </c>
      <c r="Y39" s="4">
        <v>9.9</v>
      </c>
      <c r="Z39" s="4">
        <v>5.8</v>
      </c>
      <c r="AB39" s="4" t="s">
        <v>253</v>
      </c>
    </row>
    <row r="40" spans="1:28">
      <c r="A40" s="4" t="s">
        <v>356</v>
      </c>
      <c r="B40" s="60"/>
      <c r="C40" s="62">
        <f>'Biologische mest'!C230</f>
        <v>285.625</v>
      </c>
      <c r="D40" s="62">
        <f>'Biologische mest'!D230</f>
        <v>151.375</v>
      </c>
      <c r="E40" s="61">
        <v>0.33</v>
      </c>
      <c r="F40" s="121">
        <v>1.36</v>
      </c>
      <c r="G40" s="61">
        <v>500</v>
      </c>
      <c r="H40" s="66">
        <f>'Biologische mest'!G230</f>
        <v>6.3475000000000001</v>
      </c>
      <c r="I40" s="114"/>
      <c r="J40" s="114"/>
      <c r="K40" s="115"/>
      <c r="L40" s="116"/>
      <c r="M40" s="66">
        <f>'Biologische mest'!L230</f>
        <v>5.9487500000000004</v>
      </c>
      <c r="N40" s="66">
        <f>'Biologische mest'!M230</f>
        <v>9.1587499999999995</v>
      </c>
      <c r="O40" s="6"/>
      <c r="P40" s="4" t="s">
        <v>344</v>
      </c>
      <c r="S40" s="110">
        <f>'Biologische mest'!C231</f>
        <v>33.733990912092551</v>
      </c>
      <c r="T40" s="110">
        <f>'Biologische mest'!D231</f>
        <v>48.73232280236892</v>
      </c>
      <c r="V40" s="131">
        <f>'Biologische mest'!G231</f>
        <v>1.9779625158950089</v>
      </c>
      <c r="Y40" s="12">
        <f>'Biologische mest'!L231</f>
        <v>3.6003152143745889</v>
      </c>
      <c r="Z40" s="12">
        <f>'Biologische mest'!M231</f>
        <v>3.1331154622835085</v>
      </c>
      <c r="AB40" s="4" t="s">
        <v>344</v>
      </c>
    </row>
    <row r="41" spans="1:28">
      <c r="A41" s="4" t="s">
        <v>229</v>
      </c>
      <c r="B41" s="128">
        <v>0.60499999999999998</v>
      </c>
      <c r="C41" s="4">
        <v>573</v>
      </c>
      <c r="D41" s="4">
        <v>416</v>
      </c>
      <c r="E41" s="70">
        <v>0.33</v>
      </c>
      <c r="F41" s="123">
        <v>1.36</v>
      </c>
      <c r="G41" s="61">
        <v>500</v>
      </c>
      <c r="H41" s="5">
        <v>25.6</v>
      </c>
      <c r="I41" s="5">
        <v>2.5</v>
      </c>
      <c r="J41" s="5">
        <v>23.1</v>
      </c>
      <c r="K41" s="11">
        <f t="shared" si="4"/>
        <v>0.90234375</v>
      </c>
      <c r="L41" s="12">
        <f t="shared" si="5"/>
        <v>9.0043290043290032</v>
      </c>
      <c r="M41" s="5">
        <v>19.600000000000001</v>
      </c>
      <c r="N41" s="5">
        <v>15.5</v>
      </c>
      <c r="O41" s="5"/>
      <c r="P41" s="4" t="s">
        <v>237</v>
      </c>
      <c r="S41" s="4">
        <v>191</v>
      </c>
      <c r="V41" s="4">
        <v>9.1999999999999993</v>
      </c>
      <c r="Y41" s="4">
        <v>8.5</v>
      </c>
      <c r="Z41" s="4">
        <v>5.8</v>
      </c>
      <c r="AB41" s="4" t="s">
        <v>253</v>
      </c>
    </row>
    <row r="42" spans="1:28">
      <c r="A42" s="4" t="s">
        <v>230</v>
      </c>
      <c r="B42" s="65">
        <v>0.60499999999999998</v>
      </c>
      <c r="C42" s="4">
        <v>810</v>
      </c>
      <c r="D42" s="4">
        <v>427</v>
      </c>
      <c r="E42" s="70">
        <v>0.33</v>
      </c>
      <c r="F42" s="123">
        <v>1.36</v>
      </c>
      <c r="G42" s="61">
        <v>500</v>
      </c>
      <c r="H42" s="5">
        <v>34.1</v>
      </c>
      <c r="I42" s="5">
        <v>3.9</v>
      </c>
      <c r="J42" s="5">
        <v>30.2</v>
      </c>
      <c r="K42" s="11">
        <f t="shared" si="4"/>
        <v>0.88563049853372433</v>
      </c>
      <c r="L42" s="12">
        <f t="shared" si="5"/>
        <v>7.0695364238410594</v>
      </c>
      <c r="M42" s="5">
        <v>27.8</v>
      </c>
      <c r="N42" s="5">
        <v>20.100000000000001</v>
      </c>
      <c r="O42" s="5"/>
      <c r="P42" s="4" t="s">
        <v>237</v>
      </c>
      <c r="S42" s="4">
        <v>156</v>
      </c>
      <c r="T42" s="4">
        <v>98</v>
      </c>
      <c r="V42" s="4">
        <v>11.7</v>
      </c>
      <c r="W42" s="4">
        <v>1.9</v>
      </c>
      <c r="X42" s="12">
        <v>7</v>
      </c>
      <c r="Y42" s="4">
        <v>11.2</v>
      </c>
      <c r="Z42" s="4">
        <v>5.9</v>
      </c>
      <c r="AB42" s="4" t="s">
        <v>253</v>
      </c>
    </row>
    <row r="43" spans="1:28">
      <c r="A43" s="4" t="s">
        <v>42</v>
      </c>
      <c r="B43" s="128">
        <v>0.6</v>
      </c>
      <c r="C43" s="4">
        <v>713</v>
      </c>
      <c r="D43" s="4">
        <v>359</v>
      </c>
      <c r="E43" s="70">
        <v>0.34</v>
      </c>
      <c r="F43" s="123">
        <v>1.39</v>
      </c>
      <c r="G43" s="61">
        <v>500</v>
      </c>
      <c r="H43" s="5">
        <v>28</v>
      </c>
      <c r="I43" s="5">
        <v>3.6</v>
      </c>
      <c r="J43" s="5">
        <v>24.4</v>
      </c>
      <c r="K43" s="11">
        <f t="shared" si="4"/>
        <v>0.87142857142857133</v>
      </c>
      <c r="L43" s="12">
        <f t="shared" si="5"/>
        <v>7.3565573770491808</v>
      </c>
      <c r="M43" s="5">
        <v>25.6</v>
      </c>
      <c r="N43" s="5">
        <v>20.8</v>
      </c>
      <c r="O43" s="5"/>
      <c r="P43" s="4" t="s">
        <v>237</v>
      </c>
      <c r="S43" s="4">
        <v>165</v>
      </c>
      <c r="T43" s="4">
        <v>160</v>
      </c>
      <c r="V43" s="12">
        <v>11</v>
      </c>
      <c r="W43" s="4">
        <v>1.7</v>
      </c>
      <c r="X43" s="4">
        <v>5.7</v>
      </c>
      <c r="Y43" s="4">
        <v>10.1</v>
      </c>
      <c r="Z43" s="4">
        <v>6.4</v>
      </c>
      <c r="AB43" s="4" t="s">
        <v>253</v>
      </c>
    </row>
    <row r="44" spans="1:28">
      <c r="A44" s="4" t="s">
        <v>231</v>
      </c>
      <c r="B44" s="128">
        <v>0.60499999999999998</v>
      </c>
      <c r="C44" s="4">
        <v>626</v>
      </c>
      <c r="D44" s="4">
        <v>419</v>
      </c>
      <c r="E44" s="70">
        <v>0.36</v>
      </c>
      <c r="F44" s="70">
        <v>1.44</v>
      </c>
      <c r="G44" s="61">
        <v>500</v>
      </c>
      <c r="H44" s="5">
        <v>32.1</v>
      </c>
      <c r="I44" s="5">
        <v>8</v>
      </c>
      <c r="J44" s="5">
        <v>24.1</v>
      </c>
      <c r="K44" s="11">
        <f t="shared" si="4"/>
        <v>0.75077881619937692</v>
      </c>
      <c r="L44" s="12">
        <f t="shared" si="5"/>
        <v>8.6929460580912856</v>
      </c>
      <c r="M44" s="5">
        <v>16.8</v>
      </c>
      <c r="N44" s="5">
        <v>20.5</v>
      </c>
      <c r="O44" s="5"/>
      <c r="P44" s="4" t="s">
        <v>237</v>
      </c>
      <c r="S44" s="4">
        <v>119</v>
      </c>
      <c r="T44" s="4">
        <v>105</v>
      </c>
      <c r="V44" s="12">
        <v>8.4</v>
      </c>
      <c r="W44" s="4">
        <v>1.9</v>
      </c>
      <c r="X44" s="4">
        <v>6.7</v>
      </c>
      <c r="Y44" s="12">
        <v>9</v>
      </c>
      <c r="Z44" s="4">
        <v>5.9</v>
      </c>
      <c r="AB44" s="4" t="s">
        <v>253</v>
      </c>
    </row>
    <row r="45" spans="1:28">
      <c r="A45" s="4" t="s">
        <v>358</v>
      </c>
      <c r="B45" s="128"/>
      <c r="C45" s="62">
        <f>'Biologische mest'!C254</f>
        <v>579.94117647058829</v>
      </c>
      <c r="D45" s="62">
        <f>'Biologische mest'!D254</f>
        <v>370.28833064351983</v>
      </c>
      <c r="E45" s="61">
        <v>0.34</v>
      </c>
      <c r="F45" s="121">
        <v>1.39</v>
      </c>
      <c r="G45" s="119">
        <v>500</v>
      </c>
      <c r="H45" s="118">
        <f>'Biologische mest'!G254</f>
        <v>21.990000000000002</v>
      </c>
      <c r="I45" s="118">
        <f>'Biologische mest'!H254</f>
        <v>4.5872162790697679</v>
      </c>
      <c r="J45" s="118">
        <f>'Biologische mest'!I254</f>
        <v>17.323517441860467</v>
      </c>
      <c r="K45" s="67">
        <f t="shared" ref="K45" si="10">J45/H45</f>
        <v>0.78779069767441867</v>
      </c>
      <c r="L45" s="66">
        <f t="shared" ref="L45" si="11">D45*0.5/J45</f>
        <v>10.687446469409174</v>
      </c>
      <c r="M45" s="118">
        <f>'Biologische mest'!L254</f>
        <v>23.873529411764707</v>
      </c>
      <c r="N45" s="118">
        <f>'Biologische mest'!M254</f>
        <v>15.505882352941175</v>
      </c>
      <c r="O45" s="5"/>
      <c r="P45" s="4" t="s">
        <v>344</v>
      </c>
      <c r="S45" s="110">
        <f>'Biologische mest'!C255</f>
        <v>168.27079016730562</v>
      </c>
      <c r="T45" s="110">
        <f>'Biologische mest'!D255</f>
        <v>85.791451125952179</v>
      </c>
      <c r="V45" s="12">
        <f>'Biologische mest'!G255</f>
        <v>5.7636858866527376</v>
      </c>
      <c r="W45" s="12">
        <f>'Biologische mest'!H255</f>
        <v>1.7677844286951421</v>
      </c>
      <c r="X45" s="12">
        <f>'Biologische mest'!I255</f>
        <v>5.2080430875952137</v>
      </c>
      <c r="Y45" s="12">
        <f>'Biologische mest'!L248</f>
        <v>14.3</v>
      </c>
      <c r="Z45" s="12">
        <f>'Biologische mest'!M248</f>
        <v>13.1</v>
      </c>
      <c r="AB45" s="4" t="s">
        <v>344</v>
      </c>
    </row>
    <row r="46" spans="1:28">
      <c r="A46" s="4" t="s">
        <v>232</v>
      </c>
      <c r="B46" s="128">
        <v>0.53500000000000003</v>
      </c>
      <c r="C46" s="4">
        <v>520</v>
      </c>
      <c r="D46" s="4">
        <v>427</v>
      </c>
      <c r="E46" s="61">
        <v>0.36</v>
      </c>
      <c r="F46" s="61">
        <v>1.44</v>
      </c>
      <c r="G46" s="61">
        <v>500</v>
      </c>
      <c r="H46" s="5">
        <v>23.3</v>
      </c>
      <c r="I46" s="5">
        <v>6</v>
      </c>
      <c r="J46" s="5">
        <v>17.3</v>
      </c>
      <c r="K46" s="11">
        <f t="shared" si="4"/>
        <v>0.74248927038626611</v>
      </c>
      <c r="L46" s="12">
        <f t="shared" si="5"/>
        <v>12.341040462427745</v>
      </c>
      <c r="M46" s="5">
        <v>19.7</v>
      </c>
      <c r="N46" s="5">
        <v>13.4</v>
      </c>
      <c r="O46" s="5"/>
      <c r="P46" s="4" t="s">
        <v>237</v>
      </c>
      <c r="S46" s="4">
        <v>154</v>
      </c>
      <c r="V46" s="12">
        <v>9.6999999999999993</v>
      </c>
      <c r="Y46" s="12">
        <v>9.4</v>
      </c>
      <c r="Z46" s="4">
        <v>5.2</v>
      </c>
      <c r="AB46" s="4" t="s">
        <v>253</v>
      </c>
    </row>
    <row r="47" spans="1:28">
      <c r="A47" s="4" t="s">
        <v>27</v>
      </c>
      <c r="B47" s="128">
        <v>0.7</v>
      </c>
      <c r="C47" s="4">
        <v>287</v>
      </c>
      <c r="D47" s="4">
        <v>160</v>
      </c>
      <c r="E47" s="61">
        <v>0.33</v>
      </c>
      <c r="F47" s="121">
        <v>1.36</v>
      </c>
      <c r="G47" s="61">
        <v>500</v>
      </c>
      <c r="H47" s="5">
        <v>4.5999999999999996</v>
      </c>
      <c r="I47" s="5">
        <v>0.5</v>
      </c>
      <c r="J47" s="5">
        <v>4.0999999999999996</v>
      </c>
      <c r="K47" s="11">
        <f t="shared" si="4"/>
        <v>0.89130434782608692</v>
      </c>
      <c r="L47" s="12">
        <f t="shared" si="5"/>
        <v>19.512195121951223</v>
      </c>
      <c r="M47" s="5">
        <v>2.7</v>
      </c>
      <c r="N47" s="5">
        <v>8.1</v>
      </c>
      <c r="O47" s="5"/>
      <c r="P47" s="4" t="s">
        <v>237</v>
      </c>
      <c r="S47" s="4">
        <v>115</v>
      </c>
      <c r="T47" s="4">
        <v>103</v>
      </c>
      <c r="V47" s="12">
        <v>2.2000000000000002</v>
      </c>
      <c r="W47" s="4">
        <v>0.5</v>
      </c>
      <c r="X47" s="4">
        <v>2.2000000000000002</v>
      </c>
      <c r="Y47" s="4">
        <v>1.5</v>
      </c>
      <c r="Z47" s="4">
        <v>3.5</v>
      </c>
      <c r="AB47" s="4" t="s">
        <v>253</v>
      </c>
    </row>
    <row r="48" spans="1:28">
      <c r="A48" s="4" t="s">
        <v>22</v>
      </c>
      <c r="B48" s="59">
        <v>0.7</v>
      </c>
      <c r="C48" s="4">
        <v>276</v>
      </c>
      <c r="D48" s="4">
        <v>195</v>
      </c>
      <c r="E48" s="63">
        <v>0.7</v>
      </c>
      <c r="F48" s="121">
        <v>3.17</v>
      </c>
      <c r="G48" s="61">
        <v>500</v>
      </c>
      <c r="H48" s="5">
        <v>8.8000000000000007</v>
      </c>
      <c r="I48" s="5">
        <v>2</v>
      </c>
      <c r="J48" s="5">
        <v>6.8</v>
      </c>
      <c r="K48" s="11">
        <f t="shared" si="4"/>
        <v>0.7727272727272726</v>
      </c>
      <c r="L48" s="12">
        <f t="shared" si="5"/>
        <v>14.338235294117647</v>
      </c>
      <c r="M48" s="5">
        <v>4.5</v>
      </c>
      <c r="N48" s="5">
        <v>15.6</v>
      </c>
      <c r="O48" s="5"/>
      <c r="P48" s="4" t="s">
        <v>237</v>
      </c>
      <c r="S48" s="4">
        <v>81</v>
      </c>
      <c r="V48" s="12">
        <v>2.2000000000000002</v>
      </c>
      <c r="Y48" s="4">
        <v>1.6</v>
      </c>
      <c r="Z48" s="4">
        <v>4.8</v>
      </c>
      <c r="AB48" s="4" t="s">
        <v>253</v>
      </c>
    </row>
    <row r="49" spans="1:28">
      <c r="A49" s="4" t="s">
        <v>23</v>
      </c>
      <c r="B49" s="60">
        <v>0.9</v>
      </c>
      <c r="C49" s="4">
        <v>291</v>
      </c>
      <c r="D49" s="4">
        <v>174</v>
      </c>
      <c r="E49" s="63">
        <v>0.7</v>
      </c>
      <c r="F49" s="121">
        <v>3.17</v>
      </c>
      <c r="G49" s="61">
        <v>500</v>
      </c>
      <c r="H49" s="5">
        <v>9.9</v>
      </c>
      <c r="I49" s="5">
        <v>2.4</v>
      </c>
      <c r="J49" s="5">
        <v>7.5</v>
      </c>
      <c r="K49" s="11">
        <f t="shared" si="4"/>
        <v>0.75757575757575757</v>
      </c>
      <c r="L49" s="12">
        <f t="shared" si="5"/>
        <v>11.6</v>
      </c>
      <c r="M49" s="5">
        <v>5.3</v>
      </c>
      <c r="N49" s="5">
        <v>12.8</v>
      </c>
      <c r="O49" s="5"/>
      <c r="P49" s="4" t="s">
        <v>237</v>
      </c>
      <c r="S49" s="4">
        <v>103</v>
      </c>
      <c r="T49" s="4">
        <v>30</v>
      </c>
      <c r="V49" s="12">
        <v>3.1</v>
      </c>
      <c r="W49" s="4">
        <v>0.8</v>
      </c>
      <c r="X49" s="12">
        <v>1</v>
      </c>
      <c r="Y49" s="4">
        <v>2.7</v>
      </c>
      <c r="Z49" s="12">
        <v>3.6</v>
      </c>
      <c r="AB49" s="4" t="s">
        <v>253</v>
      </c>
    </row>
    <row r="50" spans="1:28">
      <c r="A50" s="4" t="s">
        <v>24</v>
      </c>
      <c r="B50" s="60">
        <v>0.7</v>
      </c>
      <c r="C50" s="4">
        <v>452</v>
      </c>
      <c r="D50" s="4">
        <v>293</v>
      </c>
      <c r="E50" s="61">
        <v>0.33</v>
      </c>
      <c r="F50" s="121">
        <v>1.36</v>
      </c>
      <c r="G50" s="61">
        <v>500</v>
      </c>
      <c r="H50" s="5">
        <v>28.3</v>
      </c>
      <c r="I50" s="5">
        <v>16.100000000000001</v>
      </c>
      <c r="J50" s="5">
        <v>12.2</v>
      </c>
      <c r="K50" s="11">
        <f t="shared" si="4"/>
        <v>0.43109540636042398</v>
      </c>
      <c r="L50" s="12">
        <f t="shared" si="5"/>
        <v>12.008196721311476</v>
      </c>
      <c r="M50" s="5">
        <v>26.9</v>
      </c>
      <c r="N50" s="5">
        <v>5.4</v>
      </c>
      <c r="O50" s="5"/>
      <c r="P50" s="4" t="s">
        <v>237</v>
      </c>
      <c r="S50" s="4">
        <v>148</v>
      </c>
      <c r="V50" s="12">
        <v>20.5</v>
      </c>
      <c r="Y50" s="4">
        <v>19.600000000000001</v>
      </c>
      <c r="Z50" s="4">
        <v>4.0999999999999996</v>
      </c>
      <c r="AB50" s="4" t="s">
        <v>253</v>
      </c>
    </row>
    <row r="51" spans="1:28">
      <c r="A51" s="4" t="s">
        <v>25</v>
      </c>
      <c r="B51" s="60">
        <v>0.9</v>
      </c>
      <c r="C51" s="4">
        <v>275</v>
      </c>
      <c r="D51" s="4">
        <v>237</v>
      </c>
      <c r="E51" s="61">
        <v>0.33</v>
      </c>
      <c r="F51" s="121">
        <v>1.36</v>
      </c>
      <c r="G51" s="61">
        <v>500</v>
      </c>
      <c r="H51" s="5">
        <v>8.9</v>
      </c>
      <c r="I51" s="5">
        <v>1.6</v>
      </c>
      <c r="J51" s="5">
        <v>7.3</v>
      </c>
      <c r="K51" s="11">
        <f t="shared" si="4"/>
        <v>0.82022471910112349</v>
      </c>
      <c r="L51" s="12">
        <f t="shared" si="5"/>
        <v>16.232876712328768</v>
      </c>
      <c r="M51" s="5">
        <v>7.3</v>
      </c>
      <c r="N51" s="5">
        <v>8.4</v>
      </c>
      <c r="O51" s="5"/>
      <c r="P51" s="4" t="s">
        <v>237</v>
      </c>
      <c r="S51" s="4">
        <v>142</v>
      </c>
      <c r="T51" s="4">
        <v>132</v>
      </c>
      <c r="V51" s="12">
        <v>6</v>
      </c>
      <c r="W51" s="4">
        <v>0.6</v>
      </c>
      <c r="X51" s="4">
        <v>5.9</v>
      </c>
      <c r="Y51" s="4">
        <v>8.1999999999999993</v>
      </c>
      <c r="Z51" s="4">
        <v>5.0999999999999996</v>
      </c>
      <c r="AB51" s="4" t="s">
        <v>253</v>
      </c>
    </row>
    <row r="52" spans="1:28">
      <c r="A52" s="4" t="s">
        <v>26</v>
      </c>
      <c r="B52" s="60">
        <v>0.6</v>
      </c>
      <c r="C52" s="4">
        <v>408</v>
      </c>
      <c r="D52" s="4">
        <v>332</v>
      </c>
      <c r="E52" s="61">
        <v>0.33</v>
      </c>
      <c r="F52" s="121">
        <v>1.36</v>
      </c>
      <c r="G52" s="61">
        <v>500</v>
      </c>
      <c r="H52" s="5">
        <v>9.4</v>
      </c>
      <c r="I52" s="5">
        <v>2.2999999999999998</v>
      </c>
      <c r="J52" s="5">
        <v>7.1</v>
      </c>
      <c r="K52" s="11">
        <f t="shared" si="4"/>
        <v>0.75531914893617014</v>
      </c>
      <c r="L52" s="12">
        <f t="shared" si="5"/>
        <v>23.380281690140848</v>
      </c>
      <c r="M52" s="5">
        <v>6.7</v>
      </c>
      <c r="N52" s="5">
        <v>10.7</v>
      </c>
      <c r="O52" s="5"/>
      <c r="P52" s="4" t="s">
        <v>237</v>
      </c>
      <c r="S52" s="4">
        <v>157</v>
      </c>
      <c r="V52" s="12">
        <v>5.9</v>
      </c>
      <c r="W52" s="12"/>
      <c r="Y52" s="4">
        <v>5.8</v>
      </c>
      <c r="Z52" s="4">
        <v>4.0999999999999996</v>
      </c>
      <c r="AB52" s="4" t="s">
        <v>253</v>
      </c>
    </row>
    <row r="53" spans="1:28">
      <c r="A53" s="4" t="s">
        <v>92</v>
      </c>
      <c r="B53" s="60">
        <v>0.7</v>
      </c>
      <c r="C53" s="4">
        <v>285</v>
      </c>
      <c r="D53" s="4">
        <v>185</v>
      </c>
      <c r="E53" s="61">
        <v>0.33</v>
      </c>
      <c r="F53" s="121">
        <v>1.36</v>
      </c>
      <c r="G53" s="61">
        <v>500</v>
      </c>
      <c r="H53" s="5">
        <v>17.7</v>
      </c>
      <c r="I53" s="5">
        <v>10.1</v>
      </c>
      <c r="J53" s="5">
        <v>7.6</v>
      </c>
      <c r="K53" s="11">
        <f t="shared" si="4"/>
        <v>0.42937853107344631</v>
      </c>
      <c r="L53" s="12">
        <f t="shared" si="5"/>
        <v>12.171052631578949</v>
      </c>
      <c r="M53" s="5">
        <v>27</v>
      </c>
      <c r="N53" s="5">
        <v>0.4</v>
      </c>
      <c r="O53" s="5"/>
      <c r="P53" s="4" t="s">
        <v>93</v>
      </c>
    </row>
    <row r="54" spans="1:28">
      <c r="B54" s="128"/>
      <c r="H54" s="5"/>
      <c r="I54" s="5"/>
      <c r="J54" s="5"/>
      <c r="M54" s="5"/>
      <c r="N54" s="5"/>
      <c r="O54" s="5"/>
    </row>
    <row r="55" spans="1:28">
      <c r="A55" s="3" t="s">
        <v>43</v>
      </c>
      <c r="B55" s="128"/>
      <c r="H55" s="5"/>
      <c r="I55" s="5"/>
      <c r="J55" s="5"/>
      <c r="M55" s="5"/>
      <c r="N55" s="5"/>
      <c r="O55" s="5"/>
    </row>
    <row r="56" spans="1:28">
      <c r="A56" s="4" t="s">
        <v>84</v>
      </c>
      <c r="B56" s="128"/>
      <c r="C56" s="62">
        <f>ROUND('Dikke fractie'!D18,0)</f>
        <v>246</v>
      </c>
      <c r="D56" s="62">
        <f>ROUND('Dikke fractie'!E18,0)</f>
        <v>185</v>
      </c>
      <c r="E56" s="61">
        <v>0.33</v>
      </c>
      <c r="F56" s="121">
        <v>1.36</v>
      </c>
      <c r="G56" s="61">
        <v>500</v>
      </c>
      <c r="H56" s="66">
        <f>ROUND('Dikke fractie'!H18,1)</f>
        <v>10.199999999999999</v>
      </c>
      <c r="I56" s="66">
        <f>ROUND('Dikke fractie'!I18,1)</f>
        <v>4</v>
      </c>
      <c r="J56" s="66">
        <f>ROUND('Dikke fractie'!J18,1)</f>
        <v>6.2</v>
      </c>
      <c r="K56" s="67">
        <f>J56/H56</f>
        <v>0.60784313725490202</v>
      </c>
      <c r="L56" s="66">
        <f>D56*0.5/J56</f>
        <v>14.919354838709676</v>
      </c>
      <c r="M56" s="66">
        <f>ROUND('Dikke fractie'!M18,1)</f>
        <v>12.7</v>
      </c>
      <c r="N56" s="66">
        <f>ROUND('Dikke fractie'!N18,1)</f>
        <v>5.3</v>
      </c>
      <c r="O56" s="5"/>
      <c r="P56" s="4" t="s">
        <v>180</v>
      </c>
      <c r="S56" s="110">
        <f>'Dikke fractie'!D19</f>
        <v>55.802403614524295</v>
      </c>
      <c r="T56" s="110">
        <f>'Dikke fractie'!E19</f>
        <v>38.00370091604487</v>
      </c>
      <c r="V56" s="12">
        <f>'Dikke fractie'!H19</f>
        <v>2.4440130932546285</v>
      </c>
      <c r="W56" s="12">
        <f>'Dikke fractie'!I19</f>
        <v>1.4799420505030083</v>
      </c>
      <c r="X56" s="12">
        <f>'Dikke fractie'!J19</f>
        <v>1.7375361918170331</v>
      </c>
      <c r="Y56" s="12">
        <f>'Dikke fractie'!M19</f>
        <v>5.3589763740641496</v>
      </c>
      <c r="Z56" s="12">
        <f>'Dikke fractie'!N19</f>
        <v>1.6191019194729606</v>
      </c>
      <c r="AB56" s="4" t="s">
        <v>180</v>
      </c>
    </row>
    <row r="57" spans="1:28">
      <c r="A57" s="4" t="s">
        <v>87</v>
      </c>
      <c r="B57" s="128"/>
      <c r="E57" s="63">
        <v>0.7</v>
      </c>
      <c r="F57" s="121">
        <v>3.17</v>
      </c>
      <c r="G57" s="61">
        <v>500</v>
      </c>
      <c r="O57" s="5"/>
    </row>
    <row r="58" spans="1:28">
      <c r="A58" s="4" t="s">
        <v>85</v>
      </c>
      <c r="B58" s="128"/>
      <c r="C58" s="62">
        <f>ROUND('Dikke fractie'!D32,0)</f>
        <v>290</v>
      </c>
      <c r="D58" s="62">
        <f>ROUND('Dikke fractie'!E32,0)</f>
        <v>220</v>
      </c>
      <c r="E58" s="61">
        <v>0.35</v>
      </c>
      <c r="F58" s="61">
        <v>1.41</v>
      </c>
      <c r="G58" s="61">
        <v>500</v>
      </c>
      <c r="H58" s="66">
        <f>ROUND('Dikke fractie'!H32,1)</f>
        <v>11.2</v>
      </c>
      <c r="I58" s="66">
        <f>ROUND('Dikke fractie'!I32,1)</f>
        <v>6</v>
      </c>
      <c r="J58" s="66">
        <f>ROUND('Dikke fractie'!J32,1)</f>
        <v>5.3</v>
      </c>
      <c r="K58" s="67">
        <f>J58/H58</f>
        <v>0.47321428571428575</v>
      </c>
      <c r="L58" s="66">
        <f>D58*0.5/J58</f>
        <v>20.754716981132077</v>
      </c>
      <c r="M58" s="66">
        <f>ROUND('Dikke fractie'!M32,1)</f>
        <v>17.3</v>
      </c>
      <c r="N58" s="66">
        <f>ROUND('Dikke fractie'!N32,1)</f>
        <v>5.0999999999999996</v>
      </c>
      <c r="O58" s="5"/>
      <c r="P58" s="4" t="s">
        <v>180</v>
      </c>
    </row>
    <row r="59" spans="1:28">
      <c r="A59" s="4" t="s">
        <v>86</v>
      </c>
      <c r="B59" s="128"/>
      <c r="C59" s="62">
        <f>ROUND('Dikke fractie'!D39,0)</f>
        <v>256</v>
      </c>
      <c r="D59" s="62">
        <f>ROUND('Dikke fractie'!E39,0)</f>
        <v>183</v>
      </c>
      <c r="E59" s="61">
        <v>0.75</v>
      </c>
      <c r="F59" s="61">
        <v>3.69</v>
      </c>
      <c r="G59" s="61">
        <v>500</v>
      </c>
      <c r="H59" s="66">
        <f>ROUND('Dikke fractie'!H39,1)</f>
        <v>8.8000000000000007</v>
      </c>
      <c r="I59" s="66">
        <f>ROUND('Dikke fractie'!I39,1)</f>
        <v>3.2</v>
      </c>
      <c r="J59" s="66">
        <f>ROUND('Dikke fractie'!J39,1)</f>
        <v>5.6</v>
      </c>
      <c r="K59" s="67">
        <f>J59/H59</f>
        <v>0.63636363636363624</v>
      </c>
      <c r="L59" s="66">
        <f>D59*0.5/J59</f>
        <v>16.339285714285715</v>
      </c>
      <c r="M59" s="66">
        <f>ROUND('Dikke fractie'!M39,1)</f>
        <v>8.8000000000000007</v>
      </c>
      <c r="N59" s="66">
        <f>ROUND('Dikke fractie'!N39,1)</f>
        <v>5.2</v>
      </c>
      <c r="O59" s="5"/>
      <c r="P59" s="4" t="s">
        <v>180</v>
      </c>
    </row>
    <row r="60" spans="1:28">
      <c r="B60" s="128"/>
      <c r="H60" s="5"/>
      <c r="I60" s="5"/>
      <c r="J60" s="5"/>
      <c r="M60" s="5"/>
      <c r="N60" s="5"/>
      <c r="O60" s="5"/>
    </row>
    <row r="61" spans="1:28">
      <c r="A61" s="3" t="s">
        <v>28</v>
      </c>
      <c r="B61" s="128"/>
      <c r="H61" s="5"/>
      <c r="I61" s="5"/>
      <c r="J61" s="5"/>
      <c r="M61" s="5"/>
      <c r="N61" s="5"/>
      <c r="O61" s="5"/>
    </row>
    <row r="62" spans="1:28">
      <c r="A62" s="4" t="s">
        <v>30</v>
      </c>
      <c r="B62" s="128">
        <v>0.55000000000000004</v>
      </c>
      <c r="C62" s="4">
        <v>336</v>
      </c>
      <c r="D62" s="4">
        <v>211</v>
      </c>
      <c r="E62" s="72">
        <v>0.5</v>
      </c>
      <c r="F62" s="72">
        <v>1.96</v>
      </c>
      <c r="G62" s="61">
        <v>500</v>
      </c>
      <c r="H62" s="5">
        <v>7.6</v>
      </c>
      <c r="I62" s="5">
        <v>0.4</v>
      </c>
      <c r="J62" s="5">
        <v>7.2</v>
      </c>
      <c r="K62" s="11">
        <f t="shared" ref="K62" si="12">J62/H62</f>
        <v>0.94736842105263164</v>
      </c>
      <c r="L62" s="12">
        <f t="shared" ref="L62" si="13">D62*0.5/J62</f>
        <v>14.652777777777777</v>
      </c>
      <c r="M62" s="5">
        <v>4.5</v>
      </c>
      <c r="N62" s="5">
        <v>10</v>
      </c>
      <c r="O62" s="5"/>
      <c r="P62" s="4" t="s">
        <v>237</v>
      </c>
      <c r="S62" s="4">
        <v>68</v>
      </c>
      <c r="V62" s="4">
        <v>1.8</v>
      </c>
      <c r="Y62" s="4">
        <v>1.2</v>
      </c>
      <c r="Z62" s="4">
        <v>2.1</v>
      </c>
      <c r="AB62" s="4" t="s">
        <v>253</v>
      </c>
    </row>
    <row r="63" spans="1:28">
      <c r="A63" s="4" t="s">
        <v>350</v>
      </c>
      <c r="B63" s="128"/>
      <c r="C63" s="110">
        <f>'Overige mestsoorten'!C34</f>
        <v>278.21428571428572</v>
      </c>
      <c r="D63" s="110">
        <f>'Overige mestsoorten'!D34</f>
        <v>154.57142857142858</v>
      </c>
      <c r="E63" s="120" t="s">
        <v>64</v>
      </c>
      <c r="F63" s="120" t="s">
        <v>64</v>
      </c>
      <c r="G63" s="61">
        <v>500</v>
      </c>
      <c r="H63" s="5">
        <f>'Overige mestsoorten'!G34</f>
        <v>5.2899999999999991</v>
      </c>
      <c r="I63" s="5"/>
      <c r="J63" s="5"/>
      <c r="K63" s="11"/>
      <c r="L63" s="12"/>
      <c r="M63" s="5">
        <f>'Overige mestsoorten'!L34</f>
        <v>3.6214285714285706</v>
      </c>
      <c r="N63" s="5">
        <f>'Overige mestsoorten'!M34</f>
        <v>10.474285714285715</v>
      </c>
      <c r="O63" s="5"/>
      <c r="P63" s="4" t="s">
        <v>216</v>
      </c>
      <c r="S63" s="110">
        <f>'Overige mestsoorten'!C35</f>
        <v>61.611910151588916</v>
      </c>
      <c r="T63" s="110">
        <f>'Overige mestsoorten'!D35</f>
        <v>29.479365105662769</v>
      </c>
      <c r="V63" s="12">
        <f>'Overige mestsoorten'!G35</f>
        <v>0.75348421452507652</v>
      </c>
      <c r="Y63" s="12">
        <f>'Overige mestsoorten'!L35</f>
        <v>0.8542190058118091</v>
      </c>
      <c r="Z63" s="12">
        <f>'Overige mestsoorten'!M35</f>
        <v>3.0563470259211574</v>
      </c>
      <c r="AB63" s="4" t="s">
        <v>216</v>
      </c>
    </row>
    <row r="64" spans="1:28">
      <c r="A64" s="4" t="s">
        <v>29</v>
      </c>
      <c r="B64" s="128">
        <v>0.8</v>
      </c>
      <c r="C64" s="4">
        <v>696</v>
      </c>
      <c r="D64" s="4">
        <v>242</v>
      </c>
      <c r="E64" s="70">
        <v>0.75</v>
      </c>
      <c r="F64" s="70">
        <v>3.69</v>
      </c>
      <c r="G64" s="61">
        <v>450</v>
      </c>
      <c r="H64" s="5">
        <v>12.8</v>
      </c>
      <c r="I64" s="5">
        <v>1.2</v>
      </c>
      <c r="J64" s="5">
        <v>11.6</v>
      </c>
      <c r="K64" s="11">
        <f>J64/H64</f>
        <v>0.90624999999999989</v>
      </c>
      <c r="L64" s="12">
        <f>D64*0.45/J64</f>
        <v>9.3879310344827598</v>
      </c>
      <c r="M64" s="5">
        <v>6.3</v>
      </c>
      <c r="N64" s="5">
        <v>11.3</v>
      </c>
      <c r="O64" s="5"/>
      <c r="P64" s="4" t="s">
        <v>237</v>
      </c>
    </row>
    <row r="65" spans="1:16">
      <c r="A65" s="4" t="s">
        <v>31</v>
      </c>
      <c r="B65" s="128"/>
      <c r="C65" s="4">
        <v>599</v>
      </c>
      <c r="D65" s="4">
        <v>179</v>
      </c>
      <c r="E65" s="70">
        <v>0.75</v>
      </c>
      <c r="F65" s="70">
        <v>3.69</v>
      </c>
      <c r="G65" s="61">
        <v>450</v>
      </c>
      <c r="H65" s="5">
        <v>5</v>
      </c>
      <c r="I65" s="5">
        <v>0.5</v>
      </c>
      <c r="J65" s="5">
        <v>4.5</v>
      </c>
      <c r="K65" s="11">
        <f>J65/H65</f>
        <v>0.9</v>
      </c>
      <c r="L65" s="12">
        <f>D65*0.45/J65</f>
        <v>17.899999999999999</v>
      </c>
      <c r="M65" s="5">
        <v>2.2000000000000002</v>
      </c>
      <c r="N65" s="5">
        <v>4.2</v>
      </c>
      <c r="O65" s="5"/>
      <c r="P65" s="4" t="s">
        <v>237</v>
      </c>
    </row>
    <row r="66" spans="1:16">
      <c r="B66" s="128"/>
      <c r="H66" s="12"/>
      <c r="I66" s="12"/>
      <c r="J66" s="12"/>
      <c r="M66" s="12"/>
      <c r="N66" s="12"/>
      <c r="O66" s="12"/>
    </row>
    <row r="67" spans="1:16">
      <c r="A67" s="3" t="s">
        <v>46</v>
      </c>
      <c r="B67" s="128"/>
      <c r="H67" s="12"/>
      <c r="I67" s="12"/>
      <c r="J67" s="12"/>
      <c r="M67" s="12"/>
      <c r="N67" s="12"/>
      <c r="O67" s="12"/>
    </row>
    <row r="68" spans="1:16">
      <c r="A68" s="4" t="s">
        <v>33</v>
      </c>
      <c r="B68" s="128"/>
      <c r="C68" s="4">
        <v>680</v>
      </c>
      <c r="D68" s="4">
        <v>90</v>
      </c>
      <c r="E68" s="63">
        <v>0.1</v>
      </c>
      <c r="F68" s="63">
        <v>0.73</v>
      </c>
      <c r="G68" s="61">
        <v>450</v>
      </c>
      <c r="H68" s="12">
        <v>3.3</v>
      </c>
      <c r="I68" s="12"/>
      <c r="J68" s="12"/>
      <c r="M68" s="12">
        <v>11.5</v>
      </c>
      <c r="N68" s="12">
        <v>1.1000000000000001</v>
      </c>
      <c r="O68" s="12"/>
      <c r="P68" s="4" t="s">
        <v>39</v>
      </c>
    </row>
    <row r="69" spans="1:16">
      <c r="A69" s="4" t="s">
        <v>34</v>
      </c>
      <c r="B69" s="128"/>
      <c r="C69" s="4">
        <v>580</v>
      </c>
      <c r="D69" s="4">
        <v>80</v>
      </c>
      <c r="E69" s="63">
        <v>0.1</v>
      </c>
      <c r="F69" s="63">
        <v>0.73</v>
      </c>
      <c r="G69" s="61">
        <v>450</v>
      </c>
      <c r="H69" s="12">
        <v>2.8</v>
      </c>
      <c r="I69" s="12"/>
      <c r="J69" s="12"/>
      <c r="M69" s="12">
        <v>9.8000000000000007</v>
      </c>
      <c r="N69" s="12">
        <v>0.9</v>
      </c>
      <c r="O69" s="12"/>
      <c r="P69" s="4" t="s">
        <v>39</v>
      </c>
    </row>
    <row r="70" spans="1:16">
      <c r="A70" s="4" t="s">
        <v>35</v>
      </c>
      <c r="B70" s="128"/>
      <c r="C70" s="4">
        <v>470</v>
      </c>
      <c r="D70" s="4">
        <v>60</v>
      </c>
      <c r="E70" s="63">
        <v>0.1</v>
      </c>
      <c r="F70" s="63">
        <v>0.73</v>
      </c>
      <c r="G70" s="61">
        <v>450</v>
      </c>
      <c r="H70" s="12">
        <v>2.2999999999999998</v>
      </c>
      <c r="I70" s="12"/>
      <c r="J70" s="12"/>
      <c r="M70" s="12">
        <v>8</v>
      </c>
      <c r="N70" s="12">
        <v>0.8</v>
      </c>
      <c r="O70" s="12"/>
      <c r="P70" s="4" t="s">
        <v>39</v>
      </c>
    </row>
    <row r="71" spans="1:16">
      <c r="A71" s="4" t="s">
        <v>36</v>
      </c>
      <c r="B71" s="128"/>
      <c r="C71" s="4">
        <v>620</v>
      </c>
      <c r="D71" s="4">
        <v>410</v>
      </c>
      <c r="E71" s="63">
        <v>0.1</v>
      </c>
      <c r="F71" s="63">
        <v>0.73</v>
      </c>
      <c r="G71" s="61">
        <v>450</v>
      </c>
      <c r="H71" s="110">
        <v>38</v>
      </c>
      <c r="I71" s="12"/>
      <c r="J71" s="12"/>
      <c r="M71" s="110">
        <v>5</v>
      </c>
      <c r="N71" s="110">
        <v>102</v>
      </c>
      <c r="O71" s="110"/>
      <c r="P71" s="4" t="s">
        <v>39</v>
      </c>
    </row>
    <row r="72" spans="1:16">
      <c r="B72" s="128"/>
      <c r="H72" s="110"/>
      <c r="I72" s="12"/>
      <c r="J72" s="12"/>
      <c r="M72" s="110"/>
      <c r="N72" s="110"/>
      <c r="O72" s="110"/>
    </row>
    <row r="73" spans="1:16">
      <c r="A73" s="4" t="s">
        <v>52</v>
      </c>
      <c r="B73" s="71">
        <v>1.3</v>
      </c>
      <c r="C73" s="68">
        <v>550</v>
      </c>
      <c r="D73" s="68">
        <v>430</v>
      </c>
      <c r="E73" s="63">
        <v>0.1</v>
      </c>
      <c r="F73" s="63">
        <v>0.73</v>
      </c>
      <c r="G73" s="61">
        <v>450</v>
      </c>
      <c r="H73" s="62">
        <v>20</v>
      </c>
      <c r="I73" s="12"/>
      <c r="J73" s="12"/>
      <c r="L73" s="68"/>
      <c r="M73" s="62"/>
      <c r="N73" s="62">
        <v>70</v>
      </c>
      <c r="O73" s="110"/>
      <c r="P73" s="4" t="s">
        <v>57</v>
      </c>
    </row>
    <row r="74" spans="1:16">
      <c r="A74" s="4" t="s">
        <v>53</v>
      </c>
      <c r="B74" s="71">
        <v>1.2</v>
      </c>
      <c r="C74" s="68">
        <v>500</v>
      </c>
      <c r="D74" s="68">
        <v>360</v>
      </c>
      <c r="E74" s="63">
        <v>0.1</v>
      </c>
      <c r="F74" s="63">
        <v>0.73</v>
      </c>
      <c r="G74" s="61">
        <v>450</v>
      </c>
      <c r="H74" s="62">
        <v>50</v>
      </c>
      <c r="I74" s="12"/>
      <c r="J74" s="12"/>
      <c r="L74" s="68"/>
      <c r="M74" s="62">
        <v>15</v>
      </c>
      <c r="N74" s="62">
        <v>90</v>
      </c>
      <c r="O74" s="110"/>
      <c r="P74" s="4" t="s">
        <v>57</v>
      </c>
    </row>
    <row r="75" spans="1:16">
      <c r="L75" s="68"/>
      <c r="M75" s="68"/>
      <c r="N75" s="68"/>
    </row>
    <row r="76" spans="1:16">
      <c r="A76" s="4" t="s">
        <v>60</v>
      </c>
      <c r="E76" s="61">
        <v>0.35</v>
      </c>
      <c r="F76" s="61">
        <v>1.41</v>
      </c>
      <c r="G76" s="61">
        <v>500</v>
      </c>
      <c r="H76" s="62">
        <v>40</v>
      </c>
      <c r="L76" s="68"/>
      <c r="M76" s="68">
        <v>31</v>
      </c>
      <c r="N76" s="62">
        <v>25</v>
      </c>
      <c r="P76" s="4" t="s">
        <v>216</v>
      </c>
    </row>
    <row r="77" spans="1:16">
      <c r="A77" s="4" t="s">
        <v>138</v>
      </c>
      <c r="E77" s="63">
        <v>0.7</v>
      </c>
      <c r="F77" s="121">
        <v>3.17</v>
      </c>
      <c r="G77" s="61">
        <v>500</v>
      </c>
      <c r="H77" s="62">
        <v>22</v>
      </c>
      <c r="L77" s="68"/>
      <c r="M77" s="68">
        <v>15</v>
      </c>
      <c r="N77" s="62">
        <v>34</v>
      </c>
      <c r="P77" s="4" t="s">
        <v>216</v>
      </c>
    </row>
    <row r="78" spans="1:16">
      <c r="A78" s="4" t="s">
        <v>47</v>
      </c>
      <c r="G78" s="61">
        <v>500</v>
      </c>
      <c r="H78" s="62">
        <v>130</v>
      </c>
      <c r="L78" s="68">
        <v>4.4000000000000004</v>
      </c>
      <c r="M78" s="68">
        <v>19</v>
      </c>
      <c r="N78" s="68">
        <v>7</v>
      </c>
      <c r="P78" s="4" t="s">
        <v>216</v>
      </c>
    </row>
    <row r="79" spans="1:16">
      <c r="A79" s="4" t="s">
        <v>49</v>
      </c>
      <c r="G79" s="61">
        <v>500</v>
      </c>
      <c r="H79" s="62">
        <v>120</v>
      </c>
      <c r="L79" s="68">
        <v>3.7</v>
      </c>
      <c r="M79" s="68"/>
      <c r="N79" s="68"/>
      <c r="P79" s="4" t="s">
        <v>216</v>
      </c>
    </row>
    <row r="81" spans="1:22">
      <c r="A81" s="4" t="s">
        <v>217</v>
      </c>
      <c r="E81" s="72">
        <v>0.3</v>
      </c>
      <c r="F81" s="72">
        <v>1.27</v>
      </c>
      <c r="G81" s="61">
        <v>450</v>
      </c>
      <c r="H81" s="64">
        <v>5.8</v>
      </c>
      <c r="I81" s="64"/>
      <c r="J81" s="64"/>
      <c r="K81" s="64"/>
      <c r="L81" s="69">
        <f>850*0.8*0.5/H81</f>
        <v>58.620689655172413</v>
      </c>
      <c r="M81" s="64">
        <v>1.6</v>
      </c>
      <c r="N81" s="64">
        <v>14.9</v>
      </c>
      <c r="P81" s="4" t="s">
        <v>183</v>
      </c>
    </row>
    <row r="82" spans="1:22">
      <c r="A82" s="4" t="s">
        <v>218</v>
      </c>
      <c r="E82" s="72">
        <v>0.3</v>
      </c>
      <c r="F82" s="72">
        <v>1.27</v>
      </c>
      <c r="G82" s="61">
        <v>450</v>
      </c>
      <c r="H82" s="64">
        <v>5.4</v>
      </c>
      <c r="I82" s="64"/>
      <c r="J82" s="64"/>
      <c r="K82" s="64"/>
      <c r="L82" s="69">
        <f>850*0.8*0.5/H82</f>
        <v>62.962962962962962</v>
      </c>
      <c r="M82" s="64">
        <v>2.1</v>
      </c>
      <c r="N82" s="64">
        <v>14.9</v>
      </c>
      <c r="P82" s="4" t="s">
        <v>183</v>
      </c>
    </row>
    <row r="83" spans="1:22">
      <c r="A83" s="4" t="s">
        <v>219</v>
      </c>
      <c r="E83" s="72">
        <v>0.3</v>
      </c>
      <c r="F83" s="72">
        <v>1.27</v>
      </c>
      <c r="G83" s="61">
        <v>450</v>
      </c>
      <c r="H83" s="64">
        <v>3.8</v>
      </c>
      <c r="I83" s="64"/>
      <c r="J83" s="64"/>
      <c r="K83" s="64"/>
      <c r="L83" s="69">
        <f>850*0.8*0.5/H83</f>
        <v>89.473684210526315</v>
      </c>
      <c r="M83" s="64">
        <v>1.8</v>
      </c>
      <c r="N83" s="64">
        <v>10.1</v>
      </c>
      <c r="P83" s="4" t="s">
        <v>183</v>
      </c>
    </row>
    <row r="85" spans="1:22">
      <c r="A85" s="139" t="s">
        <v>381</v>
      </c>
      <c r="C85" s="87"/>
      <c r="D85" s="87"/>
      <c r="E85" s="87"/>
      <c r="F85" s="87"/>
      <c r="G85" s="87"/>
      <c r="H85" s="132"/>
      <c r="I85" s="131"/>
      <c r="M85" s="133"/>
      <c r="N85" s="133"/>
    </row>
    <row r="86" spans="1:22">
      <c r="A86" s="4" t="s">
        <v>372</v>
      </c>
      <c r="B86" s="4">
        <v>1.1000000000000001</v>
      </c>
      <c r="C86" s="87"/>
      <c r="D86" s="87"/>
      <c r="E86" s="87"/>
      <c r="F86" s="87"/>
      <c r="G86" s="87"/>
      <c r="H86" s="140">
        <v>35</v>
      </c>
      <c r="I86" s="140"/>
      <c r="M86" s="134"/>
      <c r="N86" s="134"/>
      <c r="P86" s="4" t="s">
        <v>388</v>
      </c>
      <c r="V86" s="4">
        <v>14</v>
      </c>
    </row>
    <row r="87" spans="1:22">
      <c r="C87" s="87"/>
      <c r="D87" s="87"/>
      <c r="E87" s="87"/>
      <c r="F87" s="87"/>
      <c r="G87" s="87"/>
      <c r="H87" s="131"/>
      <c r="I87" s="131"/>
      <c r="M87" s="134"/>
      <c r="N87" s="134"/>
    </row>
    <row r="88" spans="1:22">
      <c r="C88" s="87"/>
      <c r="D88" s="87"/>
      <c r="E88" s="87"/>
      <c r="F88" s="87"/>
      <c r="G88" s="87"/>
      <c r="H88" s="131"/>
      <c r="I88" s="131"/>
      <c r="M88" s="134"/>
      <c r="N88" s="134"/>
    </row>
  </sheetData>
  <mergeCells count="2">
    <mergeCell ref="B2:N2"/>
    <mergeCell ref="R2:Z2"/>
  </mergeCells>
  <pageMargins left="0" right="0" top="0" bottom="0" header="0.51181102362204722" footer="0.51181102362204722"/>
  <pageSetup paperSize="8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Normal="100" workbookViewId="0">
      <selection activeCell="B34" sqref="B34"/>
    </sheetView>
  </sheetViews>
  <sheetFormatPr defaultRowHeight="15"/>
  <cols>
    <col min="1" max="1" width="39.28515625" bestFit="1" customWidth="1"/>
    <col min="2" max="2" width="38.28515625" bestFit="1" customWidth="1"/>
    <col min="5" max="5" width="9.85546875" customWidth="1"/>
    <col min="6" max="7" width="10.28515625" customWidth="1"/>
    <col min="13" max="13" width="7.7109375" customWidth="1"/>
    <col min="14" max="14" width="8" customWidth="1"/>
    <col min="15" max="15" width="3.28515625" customWidth="1"/>
  </cols>
  <sheetData>
    <row r="1" spans="1:16" ht="62.25">
      <c r="A1" s="1" t="s">
        <v>70</v>
      </c>
      <c r="B1" s="1" t="s">
        <v>241</v>
      </c>
      <c r="C1" s="2" t="s">
        <v>37</v>
      </c>
      <c r="D1" s="2" t="s">
        <v>1</v>
      </c>
      <c r="E1" s="2" t="s">
        <v>2</v>
      </c>
      <c r="F1" s="2" t="s">
        <v>8</v>
      </c>
      <c r="G1" s="2" t="s">
        <v>9</v>
      </c>
      <c r="H1" s="2" t="s">
        <v>3</v>
      </c>
      <c r="I1" s="2" t="s">
        <v>4</v>
      </c>
      <c r="J1" s="2" t="s">
        <v>5</v>
      </c>
      <c r="K1" s="2" t="s">
        <v>12</v>
      </c>
      <c r="L1" s="2" t="s">
        <v>40</v>
      </c>
      <c r="M1" s="2" t="s">
        <v>6</v>
      </c>
      <c r="N1" s="2" t="s">
        <v>7</v>
      </c>
      <c r="P1" s="14" t="s">
        <v>65</v>
      </c>
    </row>
    <row r="2" spans="1:16">
      <c r="A2" s="3" t="s">
        <v>210</v>
      </c>
      <c r="B2" s="3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7"/>
    </row>
    <row r="3" spans="1:16">
      <c r="A3" t="s">
        <v>71</v>
      </c>
      <c r="B3" t="s">
        <v>244</v>
      </c>
      <c r="D3">
        <v>39.299999999999997</v>
      </c>
      <c r="E3">
        <v>18.2</v>
      </c>
      <c r="H3" s="7">
        <v>7.17</v>
      </c>
      <c r="I3" s="7">
        <v>6.86</v>
      </c>
      <c r="J3" s="7">
        <f t="shared" ref="J3:J4" si="0">H3-I3</f>
        <v>0.30999999999999961</v>
      </c>
      <c r="K3" s="11">
        <f t="shared" ref="K3:K4" si="1">J3/H3</f>
        <v>4.3235704323570379E-2</v>
      </c>
      <c r="L3" s="12">
        <f t="shared" ref="L3:L9" si="2">E3*0.5/J3</f>
        <v>29.354838709677455</v>
      </c>
      <c r="M3" s="7">
        <v>0.02</v>
      </c>
      <c r="N3" s="7">
        <v>8.1</v>
      </c>
      <c r="P3" t="s">
        <v>239</v>
      </c>
    </row>
    <row r="4" spans="1:16">
      <c r="A4" t="s">
        <v>72</v>
      </c>
      <c r="B4" t="s">
        <v>244</v>
      </c>
      <c r="D4">
        <v>40.200000000000003</v>
      </c>
      <c r="E4">
        <v>19.3</v>
      </c>
      <c r="H4" s="7">
        <v>8.92</v>
      </c>
      <c r="I4" s="7">
        <v>7.77</v>
      </c>
      <c r="J4" s="7">
        <f t="shared" si="0"/>
        <v>1.1500000000000004</v>
      </c>
      <c r="K4" s="11">
        <f t="shared" si="1"/>
        <v>0.12892376681614354</v>
      </c>
      <c r="L4" s="12">
        <f t="shared" si="2"/>
        <v>8.3913043478260843</v>
      </c>
      <c r="M4" s="7">
        <v>0.78</v>
      </c>
      <c r="N4" s="7">
        <v>10.130000000000001</v>
      </c>
      <c r="P4" t="s">
        <v>239</v>
      </c>
    </row>
    <row r="5" spans="1:16">
      <c r="A5" t="s">
        <v>245</v>
      </c>
      <c r="B5" t="s">
        <v>246</v>
      </c>
      <c r="D5">
        <v>25.8</v>
      </c>
      <c r="E5">
        <v>7.81</v>
      </c>
      <c r="H5" s="7">
        <v>5.26</v>
      </c>
      <c r="I5" s="7">
        <v>4.72</v>
      </c>
      <c r="J5" s="7">
        <f>H5-I5</f>
        <v>0.54</v>
      </c>
      <c r="K5" s="11">
        <f>J5/H5</f>
        <v>0.10266159695817492</v>
      </c>
      <c r="L5" s="12">
        <f>E5*0.5/J5</f>
        <v>7.231481481481481</v>
      </c>
      <c r="M5" s="7">
        <v>0.25</v>
      </c>
      <c r="N5" s="7">
        <v>8.17</v>
      </c>
      <c r="P5" t="s">
        <v>239</v>
      </c>
    </row>
    <row r="6" spans="1:16">
      <c r="A6" t="s">
        <v>73</v>
      </c>
      <c r="B6" t="s">
        <v>246</v>
      </c>
      <c r="D6">
        <v>19.399999999999999</v>
      </c>
      <c r="E6">
        <v>6.32</v>
      </c>
      <c r="H6" s="7">
        <v>4.16</v>
      </c>
      <c r="I6" s="7">
        <v>3.56</v>
      </c>
      <c r="J6" s="7">
        <f>H6-I6</f>
        <v>0.60000000000000009</v>
      </c>
      <c r="K6" s="11">
        <f>J6/H6</f>
        <v>0.14423076923076925</v>
      </c>
      <c r="L6" s="12">
        <f>E6*0.5/J6</f>
        <v>5.2666666666666657</v>
      </c>
      <c r="M6" s="7">
        <v>0.18</v>
      </c>
      <c r="N6" s="7">
        <v>6.64</v>
      </c>
      <c r="P6" t="s">
        <v>239</v>
      </c>
    </row>
    <row r="7" spans="1:16">
      <c r="A7" t="s">
        <v>74</v>
      </c>
      <c r="B7" t="s">
        <v>244</v>
      </c>
      <c r="D7">
        <v>33.9</v>
      </c>
      <c r="E7">
        <v>13.7</v>
      </c>
      <c r="H7" s="7">
        <v>8.1199999999999992</v>
      </c>
      <c r="I7" s="7">
        <v>7.13</v>
      </c>
      <c r="J7" s="7">
        <f>H7-I7</f>
        <v>0.98999999999999932</v>
      </c>
      <c r="K7" s="11">
        <f>J7/H7</f>
        <v>0.12192118226600979</v>
      </c>
      <c r="L7" s="12">
        <f>E7*0.5/J7</f>
        <v>6.9191919191919231</v>
      </c>
      <c r="M7" s="7">
        <v>0.6</v>
      </c>
      <c r="N7" s="7">
        <v>9.6999999999999993</v>
      </c>
      <c r="P7" t="s">
        <v>239</v>
      </c>
    </row>
    <row r="9" spans="1:16">
      <c r="A9" s="13" t="s">
        <v>83</v>
      </c>
      <c r="D9" s="7">
        <f>AVERAGE(D3:D7)</f>
        <v>31.72</v>
      </c>
      <c r="E9" s="7">
        <f>AVERAGE(E3:E7)</f>
        <v>13.065999999999999</v>
      </c>
      <c r="H9" s="7">
        <f>AVERAGE(H3:H7)</f>
        <v>6.7260000000000009</v>
      </c>
      <c r="I9" s="7">
        <f>AVERAGE(I3:I7)</f>
        <v>6.0079999999999991</v>
      </c>
      <c r="J9" s="7">
        <f>AVERAGE(J3:J7)</f>
        <v>0.71799999999999986</v>
      </c>
      <c r="K9" s="11">
        <f>J9/H9</f>
        <v>0.10674992566161162</v>
      </c>
      <c r="L9" s="12">
        <f t="shared" si="2"/>
        <v>9.098885793871867</v>
      </c>
      <c r="M9" s="7">
        <f>AVERAGE(M3:M7)</f>
        <v>0.36599999999999999</v>
      </c>
      <c r="N9" s="7">
        <f>AVERAGE(N3:N7)</f>
        <v>8.5479999999999983</v>
      </c>
      <c r="P9" t="s">
        <v>239</v>
      </c>
    </row>
    <row r="10" spans="1:16">
      <c r="A10" s="13"/>
      <c r="D10" s="7"/>
      <c r="E10" s="7"/>
      <c r="H10" s="7"/>
      <c r="I10" s="7"/>
      <c r="J10" s="7"/>
      <c r="K10" s="7"/>
      <c r="L10" s="12"/>
      <c r="M10" s="7"/>
      <c r="N10" s="7"/>
    </row>
    <row r="11" spans="1:16">
      <c r="A11" s="3" t="s">
        <v>266</v>
      </c>
      <c r="D11" s="7"/>
      <c r="E11" s="7"/>
      <c r="H11" s="7"/>
      <c r="I11" s="7"/>
      <c r="J11" s="7"/>
      <c r="K11" s="7"/>
      <c r="L11" s="12"/>
      <c r="M11" s="7"/>
      <c r="N11" s="7"/>
    </row>
    <row r="12" spans="1:16">
      <c r="A12" s="13"/>
      <c r="D12" s="7"/>
      <c r="E12" s="7"/>
      <c r="H12" s="7"/>
      <c r="I12" s="7"/>
      <c r="J12" s="7"/>
      <c r="K12" s="7"/>
      <c r="L12" s="12"/>
      <c r="M12" s="7"/>
      <c r="N12" s="7"/>
    </row>
    <row r="13" spans="1:16">
      <c r="A13" s="13"/>
      <c r="B13" s="13"/>
      <c r="D13" s="7"/>
      <c r="E13" s="7"/>
      <c r="H13" s="7"/>
      <c r="I13" s="7"/>
      <c r="J13" s="7"/>
      <c r="K13" s="7"/>
      <c r="L13" s="7"/>
      <c r="M13" s="7"/>
      <c r="N13" s="7"/>
    </row>
    <row r="14" spans="1:16">
      <c r="A14" s="3" t="s">
        <v>265</v>
      </c>
      <c r="B14" s="3"/>
    </row>
    <row r="15" spans="1:16">
      <c r="A15" t="s">
        <v>240</v>
      </c>
      <c r="B15" t="s">
        <v>243</v>
      </c>
      <c r="D15">
        <v>29.1</v>
      </c>
      <c r="E15">
        <v>10.5</v>
      </c>
      <c r="H15" s="7">
        <v>6.41</v>
      </c>
      <c r="I15" s="7">
        <v>5.92</v>
      </c>
      <c r="J15" s="7">
        <f>H15-I15</f>
        <v>0.49000000000000021</v>
      </c>
      <c r="K15" s="11">
        <f>J15/H15</f>
        <v>7.644305772230893E-2</v>
      </c>
      <c r="L15" s="12">
        <f>E15*0.5/J15</f>
        <v>10.71428571428571</v>
      </c>
      <c r="M15" s="7">
        <v>0.46</v>
      </c>
      <c r="N15" s="7">
        <v>8.5</v>
      </c>
      <c r="P15" t="s">
        <v>239</v>
      </c>
    </row>
    <row r="16" spans="1:16">
      <c r="H16" s="7"/>
      <c r="I16" s="7"/>
      <c r="J16" s="7"/>
      <c r="K16" s="11"/>
      <c r="L16" s="12"/>
      <c r="M16" s="7"/>
      <c r="N16" s="7"/>
    </row>
    <row r="17" spans="1:16">
      <c r="H17" s="7"/>
      <c r="I17" s="7"/>
      <c r="J17" s="7"/>
      <c r="K17" s="11"/>
      <c r="L17" s="12"/>
      <c r="M17" s="7"/>
      <c r="N17" s="7"/>
    </row>
    <row r="18" spans="1:16">
      <c r="A18" s="3" t="s">
        <v>82</v>
      </c>
      <c r="H18" s="7"/>
      <c r="I18" s="7"/>
      <c r="J18" s="7"/>
      <c r="K18" s="11"/>
      <c r="L18" s="12"/>
      <c r="M18" s="7"/>
      <c r="N18" s="7"/>
    </row>
    <row r="19" spans="1:16">
      <c r="A19" t="s">
        <v>242</v>
      </c>
      <c r="B19" t="s">
        <v>243</v>
      </c>
      <c r="D19" s="73">
        <v>113</v>
      </c>
      <c r="E19" s="73">
        <v>70.7</v>
      </c>
      <c r="H19" s="7">
        <v>11</v>
      </c>
      <c r="I19" s="7">
        <v>10.5</v>
      </c>
      <c r="J19" s="7">
        <f>H19-I19</f>
        <v>0.5</v>
      </c>
      <c r="K19" s="11">
        <f>J19/H19</f>
        <v>4.5454545454545456E-2</v>
      </c>
      <c r="L19" s="82">
        <f>E19*0.5/J19</f>
        <v>70.7</v>
      </c>
      <c r="M19" s="7">
        <v>0.62</v>
      </c>
      <c r="N19" s="7">
        <v>18.84</v>
      </c>
      <c r="P19" t="s">
        <v>239</v>
      </c>
    </row>
    <row r="20" spans="1:16">
      <c r="H20" s="7"/>
      <c r="I20" s="7"/>
      <c r="J20" s="7"/>
      <c r="K20" s="11"/>
      <c r="L20" s="12"/>
      <c r="M20" s="7"/>
      <c r="N20" s="7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Normal="100" workbookViewId="0">
      <pane xSplit="1" ySplit="1" topLeftCell="J11" activePane="bottomRight" state="frozen"/>
      <selection pane="topRight" activeCell="B1" sqref="B1"/>
      <selection pane="bottomLeft" activeCell="A2" sqref="A2"/>
      <selection pane="bottomRight" activeCell="W1" sqref="W1"/>
    </sheetView>
  </sheetViews>
  <sheetFormatPr defaultRowHeight="15"/>
  <cols>
    <col min="1" max="1" width="18.42578125" bestFit="1" customWidth="1"/>
    <col min="2" max="2" width="20.140625" style="19" customWidth="1"/>
    <col min="5" max="5" width="9.85546875" customWidth="1"/>
    <col min="6" max="7" width="10.28515625" customWidth="1"/>
    <col min="8" max="8" width="7.7109375" customWidth="1"/>
    <col min="9" max="9" width="7.28515625" customWidth="1"/>
    <col min="10" max="10" width="8.42578125" customWidth="1"/>
    <col min="12" max="13" width="7.5703125" customWidth="1"/>
    <col min="14" max="14" width="7.7109375" customWidth="1"/>
    <col min="15" max="15" width="4.42578125" customWidth="1"/>
  </cols>
  <sheetData>
    <row r="1" spans="1:19" ht="62.25">
      <c r="A1" s="1" t="s">
        <v>70</v>
      </c>
      <c r="B1" s="20" t="s">
        <v>45</v>
      </c>
      <c r="C1" s="2" t="s">
        <v>37</v>
      </c>
      <c r="D1" s="2" t="s">
        <v>1</v>
      </c>
      <c r="E1" s="2" t="s">
        <v>2</v>
      </c>
      <c r="F1" s="2" t="s">
        <v>8</v>
      </c>
      <c r="G1" s="2" t="s">
        <v>9</v>
      </c>
      <c r="H1" s="2" t="s">
        <v>3</v>
      </c>
      <c r="I1" s="2" t="s">
        <v>4</v>
      </c>
      <c r="J1" s="2" t="s">
        <v>5</v>
      </c>
      <c r="K1" s="2" t="s">
        <v>12</v>
      </c>
      <c r="L1" s="2" t="s">
        <v>40</v>
      </c>
      <c r="M1" s="2" t="s">
        <v>6</v>
      </c>
      <c r="N1" s="2" t="s">
        <v>7</v>
      </c>
      <c r="P1" s="14" t="s">
        <v>65</v>
      </c>
    </row>
    <row r="2" spans="1:19">
      <c r="A2" s="18" t="s">
        <v>63</v>
      </c>
      <c r="B2" s="21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7"/>
    </row>
    <row r="3" spans="1:19">
      <c r="A3" t="s">
        <v>63</v>
      </c>
      <c r="B3" s="19" t="s">
        <v>62</v>
      </c>
      <c r="D3">
        <v>23</v>
      </c>
      <c r="E3">
        <v>13</v>
      </c>
      <c r="H3">
        <v>5.3</v>
      </c>
      <c r="I3" s="7">
        <v>4</v>
      </c>
      <c r="J3">
        <v>1.3</v>
      </c>
      <c r="K3" s="11">
        <f>J3/H3</f>
        <v>0.24528301886792456</v>
      </c>
      <c r="L3" s="12">
        <f>E3*0.5/J3</f>
        <v>5</v>
      </c>
      <c r="M3">
        <v>1.1000000000000001</v>
      </c>
      <c r="N3">
        <v>4.5999999999999996</v>
      </c>
      <c r="P3" t="s">
        <v>66</v>
      </c>
    </row>
    <row r="4" spans="1:19">
      <c r="A4" t="s">
        <v>63</v>
      </c>
      <c r="B4" s="19" t="s">
        <v>64</v>
      </c>
      <c r="H4">
        <v>6.5</v>
      </c>
      <c r="K4" s="11"/>
      <c r="L4" s="12"/>
      <c r="M4">
        <v>3.5</v>
      </c>
      <c r="N4">
        <v>5.2</v>
      </c>
      <c r="P4" t="s">
        <v>67</v>
      </c>
    </row>
    <row r="5" spans="1:19">
      <c r="A5" t="s">
        <v>63</v>
      </c>
      <c r="B5" s="19" t="s">
        <v>64</v>
      </c>
      <c r="D5">
        <v>62</v>
      </c>
      <c r="E5">
        <v>39</v>
      </c>
      <c r="H5">
        <v>6.3</v>
      </c>
      <c r="I5">
        <v>4.5</v>
      </c>
      <c r="J5">
        <v>1.8</v>
      </c>
      <c r="K5" s="11">
        <f>J5/H5</f>
        <v>0.28571428571428575</v>
      </c>
      <c r="L5" s="12">
        <f>E5*0.5/J5</f>
        <v>10.833333333333334</v>
      </c>
      <c r="M5">
        <v>2.9</v>
      </c>
      <c r="N5">
        <v>6.4</v>
      </c>
      <c r="P5" t="s">
        <v>68</v>
      </c>
    </row>
    <row r="6" spans="1:19">
      <c r="A6" t="s">
        <v>63</v>
      </c>
      <c r="B6" s="19" t="s">
        <v>64</v>
      </c>
      <c r="D6">
        <v>94</v>
      </c>
      <c r="E6">
        <v>40</v>
      </c>
      <c r="H6">
        <v>5.5</v>
      </c>
      <c r="M6">
        <v>2.7</v>
      </c>
      <c r="N6">
        <v>4.8</v>
      </c>
      <c r="P6" t="s">
        <v>69</v>
      </c>
    </row>
    <row r="7" spans="1:19">
      <c r="A7" t="s">
        <v>63</v>
      </c>
      <c r="B7" s="19" t="s">
        <v>64</v>
      </c>
      <c r="D7">
        <v>74</v>
      </c>
      <c r="E7">
        <v>45</v>
      </c>
      <c r="H7">
        <v>5.7</v>
      </c>
      <c r="I7">
        <v>4.0999999999999996</v>
      </c>
      <c r="J7">
        <v>1.6</v>
      </c>
      <c r="K7" s="11">
        <f>J7/H7</f>
        <v>0.2807017543859649</v>
      </c>
      <c r="L7" s="12">
        <f>E7*0.5/J7</f>
        <v>14.0625</v>
      </c>
      <c r="M7" s="7">
        <v>4</v>
      </c>
      <c r="N7">
        <v>5.3</v>
      </c>
      <c r="P7" t="s">
        <v>69</v>
      </c>
    </row>
    <row r="8" spans="1:19">
      <c r="A8" t="s">
        <v>63</v>
      </c>
      <c r="B8" s="19" t="s">
        <v>62</v>
      </c>
      <c r="D8">
        <v>51</v>
      </c>
      <c r="E8">
        <v>36</v>
      </c>
      <c r="H8">
        <v>6.3</v>
      </c>
      <c r="I8" s="7">
        <v>4.1399999999999997</v>
      </c>
      <c r="J8" s="7">
        <f>H8-I8</f>
        <v>2.16</v>
      </c>
      <c r="K8" s="11">
        <f>J8/H8</f>
        <v>0.34285714285714292</v>
      </c>
      <c r="L8" s="12">
        <f>E8*0.5/J8</f>
        <v>8.3333333333333321</v>
      </c>
      <c r="M8" s="7">
        <v>4.32</v>
      </c>
      <c r="N8" s="7">
        <v>4.46</v>
      </c>
      <c r="P8" t="s">
        <v>163</v>
      </c>
    </row>
    <row r="9" spans="1:19">
      <c r="A9" t="s">
        <v>63</v>
      </c>
      <c r="B9" s="19" t="s">
        <v>157</v>
      </c>
      <c r="C9">
        <v>1030</v>
      </c>
      <c r="D9">
        <v>37</v>
      </c>
      <c r="E9">
        <v>22</v>
      </c>
      <c r="H9">
        <v>5.5</v>
      </c>
      <c r="I9">
        <v>4.0999999999999996</v>
      </c>
      <c r="J9">
        <f t="shared" ref="J9:J13" si="0">H9-I9</f>
        <v>1.4000000000000004</v>
      </c>
      <c r="K9" s="11">
        <f t="shared" ref="K9:K13" si="1">J9/H9</f>
        <v>0.25454545454545463</v>
      </c>
      <c r="L9" s="12">
        <f t="shared" ref="L9:L13" si="2">E9*0.5/J9</f>
        <v>7.857142857142855</v>
      </c>
      <c r="M9" s="7">
        <f>0.8*2.29</f>
        <v>1.8320000000000001</v>
      </c>
      <c r="N9" s="7">
        <f>3.7*1.2</f>
        <v>4.4400000000000004</v>
      </c>
      <c r="P9" t="s">
        <v>162</v>
      </c>
    </row>
    <row r="10" spans="1:19">
      <c r="A10" t="s">
        <v>63</v>
      </c>
      <c r="B10" s="19" t="s">
        <v>158</v>
      </c>
      <c r="C10">
        <v>1030</v>
      </c>
      <c r="D10">
        <v>51</v>
      </c>
      <c r="E10">
        <v>35</v>
      </c>
      <c r="H10">
        <v>5.6</v>
      </c>
      <c r="I10">
        <v>4.2</v>
      </c>
      <c r="J10">
        <f t="shared" si="0"/>
        <v>1.3999999999999995</v>
      </c>
      <c r="K10" s="11">
        <f t="shared" si="1"/>
        <v>0.24999999999999992</v>
      </c>
      <c r="L10" s="12">
        <f t="shared" si="2"/>
        <v>12.500000000000005</v>
      </c>
      <c r="M10" s="7">
        <f>1*2.29</f>
        <v>2.29</v>
      </c>
      <c r="N10" s="7">
        <f>3.6*1.2</f>
        <v>4.32</v>
      </c>
      <c r="P10" t="s">
        <v>162</v>
      </c>
    </row>
    <row r="11" spans="1:19">
      <c r="A11" t="s">
        <v>63</v>
      </c>
      <c r="B11" s="19" t="s">
        <v>160</v>
      </c>
      <c r="C11">
        <v>1030</v>
      </c>
      <c r="D11">
        <v>44</v>
      </c>
      <c r="E11">
        <v>30</v>
      </c>
      <c r="H11">
        <v>5.4</v>
      </c>
      <c r="I11">
        <v>4.0999999999999996</v>
      </c>
      <c r="J11">
        <f t="shared" si="0"/>
        <v>1.3000000000000007</v>
      </c>
      <c r="K11" s="11">
        <f t="shared" si="1"/>
        <v>0.24074074074074087</v>
      </c>
      <c r="L11" s="12">
        <f t="shared" si="2"/>
        <v>11.538461538461533</v>
      </c>
      <c r="M11" s="7">
        <f>1*2.29</f>
        <v>2.29</v>
      </c>
      <c r="N11" s="7">
        <f>3.4*1.2</f>
        <v>4.08</v>
      </c>
      <c r="P11" t="s">
        <v>162</v>
      </c>
    </row>
    <row r="12" spans="1:19">
      <c r="A12" t="s">
        <v>63</v>
      </c>
      <c r="B12" s="19" t="s">
        <v>159</v>
      </c>
      <c r="C12">
        <v>1020</v>
      </c>
      <c r="D12">
        <v>40</v>
      </c>
      <c r="E12">
        <v>22</v>
      </c>
      <c r="H12">
        <v>6.3</v>
      </c>
      <c r="I12">
        <v>4.9000000000000004</v>
      </c>
      <c r="J12">
        <f t="shared" si="0"/>
        <v>1.3999999999999995</v>
      </c>
      <c r="K12" s="11">
        <f t="shared" si="1"/>
        <v>0.22222222222222215</v>
      </c>
      <c r="L12" s="12">
        <f t="shared" si="2"/>
        <v>7.8571428571428603</v>
      </c>
      <c r="M12" s="7">
        <f>1.2*2.29</f>
        <v>2.7479999999999998</v>
      </c>
      <c r="N12" s="7">
        <f>4.4*1.2</f>
        <v>5.28</v>
      </c>
      <c r="P12" t="s">
        <v>162</v>
      </c>
    </row>
    <row r="13" spans="1:19">
      <c r="A13" t="s">
        <v>63</v>
      </c>
      <c r="B13" s="19" t="s">
        <v>161</v>
      </c>
      <c r="C13">
        <v>1040</v>
      </c>
      <c r="D13">
        <v>51</v>
      </c>
      <c r="E13">
        <v>33</v>
      </c>
      <c r="H13">
        <v>6.5</v>
      </c>
      <c r="I13">
        <v>4.8</v>
      </c>
      <c r="J13">
        <f t="shared" si="0"/>
        <v>1.7000000000000002</v>
      </c>
      <c r="K13" s="11">
        <f t="shared" si="1"/>
        <v>0.26153846153846155</v>
      </c>
      <c r="L13" s="12">
        <f t="shared" si="2"/>
        <v>9.7058823529411757</v>
      </c>
      <c r="M13" s="7">
        <f>1.3*2.29</f>
        <v>2.9770000000000003</v>
      </c>
      <c r="N13" s="7">
        <f>4.4*1.2</f>
        <v>5.28</v>
      </c>
      <c r="P13" t="s">
        <v>162</v>
      </c>
    </row>
    <row r="14" spans="1:19">
      <c r="A14" s="4" t="s">
        <v>274</v>
      </c>
      <c r="B14" s="8"/>
      <c r="D14" s="89">
        <v>82</v>
      </c>
      <c r="E14" s="89">
        <v>57</v>
      </c>
      <c r="F14" s="85"/>
      <c r="G14" s="84"/>
      <c r="H14" s="86">
        <v>6.92</v>
      </c>
      <c r="I14" s="86">
        <v>4.32</v>
      </c>
      <c r="J14" s="75"/>
      <c r="K14" s="11"/>
      <c r="L14" s="7"/>
      <c r="M14" s="75">
        <f>1.66*2.29</f>
        <v>3.8013999999999997</v>
      </c>
      <c r="N14" s="75">
        <f>4.48*1.2</f>
        <v>5.3760000000000003</v>
      </c>
      <c r="O14" s="6"/>
      <c r="P14" t="s">
        <v>239</v>
      </c>
      <c r="S14" s="9"/>
    </row>
    <row r="15" spans="1:19">
      <c r="K15" s="11"/>
      <c r="L15" s="12"/>
      <c r="M15" s="7"/>
      <c r="N15" s="7"/>
    </row>
    <row r="16" spans="1:19">
      <c r="A16" s="13" t="s">
        <v>208</v>
      </c>
      <c r="C16">
        <f>AVERAGE(C3:C14)</f>
        <v>1030</v>
      </c>
      <c r="D16" s="9">
        <f>AVERAGE(D3:D14)</f>
        <v>55.363636363636367</v>
      </c>
      <c r="E16" s="9">
        <f>AVERAGE(E3:E14)</f>
        <v>33.81818181818182</v>
      </c>
      <c r="H16" s="7">
        <f t="shared" ref="H16:I16" si="3">AVERAGE(H3:H14)</f>
        <v>5.9850000000000003</v>
      </c>
      <c r="I16" s="7">
        <f t="shared" si="3"/>
        <v>4.3159999999999989</v>
      </c>
      <c r="J16" s="7">
        <f t="shared" ref="J16" si="4">H16-I16</f>
        <v>1.6690000000000014</v>
      </c>
      <c r="K16" s="11">
        <f t="shared" ref="K16" si="5">J16/H16</f>
        <v>0.27886382623224748</v>
      </c>
      <c r="L16" s="12">
        <f t="shared" ref="L16" si="6">E16*0.5/J16</f>
        <v>10.131270766381604</v>
      </c>
      <c r="M16" s="7">
        <f t="shared" ref="M16:N16" si="7">AVERAGE(M3:M14)</f>
        <v>2.8715333333333333</v>
      </c>
      <c r="N16" s="7">
        <f t="shared" si="7"/>
        <v>4.9613333333333332</v>
      </c>
    </row>
    <row r="17" spans="1:19">
      <c r="A17" s="13" t="s">
        <v>177</v>
      </c>
      <c r="C17" s="9"/>
      <c r="D17" s="9">
        <f>_xlfn.STDEV.S(D3:D14)</f>
        <v>20.977477099368876</v>
      </c>
      <c r="E17" s="9">
        <f>_xlfn.STDEV.S(E3:E14)</f>
        <v>12.089815398244772</v>
      </c>
      <c r="H17" s="7">
        <f t="shared" ref="H17:N17" si="8">_xlfn.STDEV.S(H3:H14)</f>
        <v>0.54051322412550218</v>
      </c>
      <c r="I17" s="7">
        <f t="shared" si="8"/>
        <v>0.31507318373849463</v>
      </c>
      <c r="J17" s="7">
        <f t="shared" si="8"/>
        <v>0.28520947467509794</v>
      </c>
      <c r="K17" s="11">
        <f t="shared" si="8"/>
        <v>3.5161473309835649E-2</v>
      </c>
      <c r="L17" s="7">
        <f t="shared" si="8"/>
        <v>2.7899179927640203</v>
      </c>
      <c r="M17" s="7">
        <f t="shared" si="8"/>
        <v>0.93337387747435696</v>
      </c>
      <c r="N17" s="7">
        <f t="shared" si="8"/>
        <v>0.63848077259202041</v>
      </c>
    </row>
    <row r="18" spans="1:19">
      <c r="A18" s="13"/>
      <c r="C18" s="9"/>
      <c r="D18" s="9"/>
      <c r="E18" s="9"/>
      <c r="H18" s="7"/>
      <c r="I18" s="7"/>
      <c r="J18" s="7"/>
      <c r="K18" s="11"/>
      <c r="L18" s="7"/>
      <c r="M18" s="7"/>
      <c r="N18" s="7"/>
    </row>
    <row r="20" spans="1:19">
      <c r="A20" s="18" t="s">
        <v>88</v>
      </c>
    </row>
    <row r="21" spans="1:19">
      <c r="A21" t="s">
        <v>88</v>
      </c>
      <c r="B21" s="19" t="s">
        <v>95</v>
      </c>
      <c r="D21">
        <v>103</v>
      </c>
      <c r="E21">
        <v>77</v>
      </c>
      <c r="H21">
        <v>4.5999999999999996</v>
      </c>
      <c r="I21">
        <v>1.52</v>
      </c>
      <c r="J21" s="7">
        <v>3</v>
      </c>
      <c r="K21" s="11">
        <f>J21/H21</f>
        <v>0.65217391304347827</v>
      </c>
      <c r="L21">
        <v>15.5</v>
      </c>
      <c r="M21">
        <v>1.9</v>
      </c>
      <c r="N21">
        <v>6.1</v>
      </c>
      <c r="P21" t="s">
        <v>94</v>
      </c>
    </row>
    <row r="22" spans="1:19">
      <c r="A22" s="84" t="s">
        <v>200</v>
      </c>
      <c r="D22">
        <v>45</v>
      </c>
      <c r="E22">
        <v>29</v>
      </c>
      <c r="H22" s="7">
        <v>2.76</v>
      </c>
      <c r="I22">
        <v>1.8</v>
      </c>
      <c r="J22">
        <v>1</v>
      </c>
      <c r="K22" s="11">
        <f t="shared" ref="K22:K23" si="9">J22/H22</f>
        <v>0.3623188405797102</v>
      </c>
      <c r="M22" s="7">
        <v>1.35</v>
      </c>
      <c r="N22">
        <v>4.8</v>
      </c>
      <c r="Q22" s="13"/>
    </row>
    <row r="23" spans="1:19">
      <c r="A23" s="84" t="s">
        <v>200</v>
      </c>
      <c r="D23">
        <v>42</v>
      </c>
      <c r="E23">
        <v>29</v>
      </c>
      <c r="H23" s="7">
        <v>2.64</v>
      </c>
      <c r="I23">
        <v>1.4</v>
      </c>
      <c r="J23">
        <v>1.2</v>
      </c>
      <c r="K23" s="11">
        <f t="shared" si="9"/>
        <v>0.45454545454545453</v>
      </c>
      <c r="M23" s="7">
        <v>1.17</v>
      </c>
      <c r="N23">
        <v>4.2</v>
      </c>
      <c r="P23" t="s">
        <v>199</v>
      </c>
      <c r="Q23" s="13" t="s">
        <v>220</v>
      </c>
    </row>
    <row r="24" spans="1:19">
      <c r="A24" s="84" t="s">
        <v>221</v>
      </c>
      <c r="D24">
        <v>54</v>
      </c>
      <c r="E24">
        <v>36</v>
      </c>
      <c r="H24" s="7">
        <v>4.8</v>
      </c>
      <c r="I24">
        <v>2.9</v>
      </c>
      <c r="J24">
        <v>1.9</v>
      </c>
      <c r="K24" s="11">
        <f>J24/H24</f>
        <v>0.39583333333333331</v>
      </c>
      <c r="L24">
        <v>3</v>
      </c>
      <c r="M24" s="7">
        <v>1.76</v>
      </c>
      <c r="N24">
        <v>5.6</v>
      </c>
      <c r="Q24" s="13" t="s">
        <v>222</v>
      </c>
    </row>
    <row r="25" spans="1:19">
      <c r="A25" s="84" t="s">
        <v>202</v>
      </c>
      <c r="D25" s="33">
        <v>50</v>
      </c>
      <c r="E25" s="34">
        <v>33.89473684210526</v>
      </c>
      <c r="F25" s="35"/>
      <c r="G25" s="35"/>
      <c r="H25" s="36">
        <v>4.535263157894736</v>
      </c>
      <c r="I25" s="36">
        <v>2.8736842105263163</v>
      </c>
      <c r="J25" s="36">
        <v>1.6578947368421049</v>
      </c>
      <c r="K25" s="11">
        <f>J25/H25</f>
        <v>0.36555645816409421</v>
      </c>
      <c r="L25" s="35"/>
      <c r="M25" s="36">
        <v>1.3747368421052628</v>
      </c>
      <c r="N25" s="36">
        <v>4.552631578947369</v>
      </c>
      <c r="P25" t="s">
        <v>203</v>
      </c>
    </row>
    <row r="26" spans="1:19">
      <c r="A26" s="4" t="s">
        <v>275</v>
      </c>
      <c r="B26" s="8"/>
      <c r="D26" s="89">
        <v>92.1</v>
      </c>
      <c r="E26" s="89">
        <v>65.8</v>
      </c>
      <c r="F26" s="85"/>
      <c r="G26" s="84"/>
      <c r="H26" s="90">
        <v>6.78</v>
      </c>
      <c r="I26" s="90">
        <v>3.83</v>
      </c>
      <c r="J26" s="75"/>
      <c r="K26" s="11"/>
      <c r="L26" s="7"/>
      <c r="M26" s="7">
        <f>1.33*2.29</f>
        <v>3.0457000000000001</v>
      </c>
      <c r="N26" s="7">
        <f>5.34*1.2</f>
        <v>6.4079999999999995</v>
      </c>
      <c r="O26" s="6"/>
      <c r="P26" t="s">
        <v>239</v>
      </c>
      <c r="S26" s="9"/>
    </row>
    <row r="27" spans="1:19">
      <c r="D27" s="33"/>
      <c r="E27" s="33"/>
      <c r="F27" s="33"/>
      <c r="G27" s="35"/>
      <c r="H27" s="36"/>
      <c r="I27" s="36"/>
      <c r="J27" s="36"/>
      <c r="K27" s="35"/>
      <c r="L27" s="35"/>
      <c r="M27" s="36"/>
      <c r="N27" s="36"/>
    </row>
    <row r="28" spans="1:19">
      <c r="A28" s="13" t="s">
        <v>209</v>
      </c>
      <c r="D28" s="34">
        <f>AVERAGE(D21:D26)</f>
        <v>64.350000000000009</v>
      </c>
      <c r="E28" s="34">
        <f>AVERAGE(E21:E26)</f>
        <v>45.11578947368421</v>
      </c>
      <c r="F28" s="34"/>
      <c r="G28" s="34"/>
      <c r="H28" s="36">
        <f t="shared" ref="H28:N28" si="10">AVERAGE(H21:H26)</f>
        <v>4.3525438596491233</v>
      </c>
      <c r="I28" s="36">
        <f t="shared" si="10"/>
        <v>2.3872807017543862</v>
      </c>
      <c r="J28" s="36">
        <f t="shared" si="10"/>
        <v>1.7515789473684209</v>
      </c>
      <c r="K28" s="11">
        <f>J28/H28</f>
        <v>0.40242648985267732</v>
      </c>
      <c r="L28">
        <v>15.5</v>
      </c>
      <c r="M28" s="36">
        <f t="shared" si="10"/>
        <v>1.7667394736842104</v>
      </c>
      <c r="N28" s="36">
        <f t="shared" si="10"/>
        <v>5.2767719298245614</v>
      </c>
    </row>
    <row r="29" spans="1:19">
      <c r="A29" s="13" t="s">
        <v>177</v>
      </c>
      <c r="D29" s="34">
        <f>_xlfn.STDEV.S(D21:D26)</f>
        <v>26.271181930016002</v>
      </c>
      <c r="E29" s="34">
        <f>_xlfn.STDEV.S(E21:E26)</f>
        <v>20.846517342677625</v>
      </c>
      <c r="F29" s="34"/>
      <c r="G29" s="34"/>
      <c r="H29" s="36">
        <f t="shared" ref="H29:N29" si="11">_xlfn.STDEV.S(H21:H26)</f>
        <v>1.5268518991926898</v>
      </c>
      <c r="I29" s="36">
        <f t="shared" si="11"/>
        <v>0.96464563939456693</v>
      </c>
      <c r="J29" s="36">
        <f t="shared" si="11"/>
        <v>0.78397559179597964</v>
      </c>
      <c r="K29" s="83">
        <f t="shared" si="11"/>
        <v>0.12100729821562303</v>
      </c>
      <c r="L29" s="36">
        <f t="shared" si="11"/>
        <v>8.8388347648318444</v>
      </c>
      <c r="M29" s="36">
        <f t="shared" si="11"/>
        <v>0.68366361140516874</v>
      </c>
      <c r="N29" s="36">
        <f t="shared" si="11"/>
        <v>0.89140185071854661</v>
      </c>
    </row>
    <row r="30" spans="1:19">
      <c r="A30" s="13"/>
      <c r="D30" s="34"/>
      <c r="E30" s="34"/>
      <c r="F30" s="34"/>
      <c r="G30" s="34"/>
      <c r="H30" s="36"/>
      <c r="I30" s="36"/>
      <c r="J30" s="36"/>
      <c r="K30" s="11"/>
      <c r="L30" s="36"/>
      <c r="M30" s="36"/>
      <c r="N30" s="36"/>
    </row>
    <row r="31" spans="1:19">
      <c r="D31" s="33"/>
      <c r="E31" s="33"/>
      <c r="F31" s="33"/>
      <c r="H31" s="7"/>
      <c r="M31" s="7"/>
    </row>
    <row r="32" spans="1:19">
      <c r="A32" s="3" t="s">
        <v>99</v>
      </c>
      <c r="D32" s="33"/>
      <c r="E32" s="33"/>
      <c r="F32" s="33"/>
    </row>
    <row r="33" spans="1:16">
      <c r="A33" t="s">
        <v>99</v>
      </c>
      <c r="D33">
        <v>79</v>
      </c>
      <c r="E33">
        <v>68</v>
      </c>
      <c r="H33">
        <v>4.8</v>
      </c>
      <c r="I33">
        <v>1.85</v>
      </c>
      <c r="J33">
        <v>3</v>
      </c>
      <c r="K33" s="11">
        <f>J33/H33</f>
        <v>0.625</v>
      </c>
      <c r="L33">
        <v>10.6</v>
      </c>
      <c r="M33">
        <v>2.1</v>
      </c>
      <c r="N33">
        <v>5.9</v>
      </c>
      <c r="P33" t="s">
        <v>94</v>
      </c>
    </row>
    <row r="39" spans="1:16">
      <c r="B39" s="8"/>
      <c r="D39" s="84"/>
      <c r="E39" s="84"/>
      <c r="F39" s="87"/>
      <c r="G39" s="88"/>
      <c r="H39" s="88"/>
      <c r="I39" s="88"/>
      <c r="J39" s="4"/>
      <c r="K39" s="4"/>
      <c r="L39" s="6"/>
      <c r="M39" s="6"/>
      <c r="N39" s="6"/>
    </row>
    <row r="40" spans="1:16">
      <c r="B40" s="8"/>
      <c r="F40" s="4"/>
      <c r="G40" s="6"/>
      <c r="H40" s="6"/>
      <c r="I40" s="6"/>
      <c r="J40" s="4"/>
      <c r="K40" s="4"/>
      <c r="L40" s="6"/>
      <c r="M40" s="6"/>
      <c r="N40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8" sqref="H8:H17"/>
    </sheetView>
  </sheetViews>
  <sheetFormatPr defaultColWidth="8.85546875" defaultRowHeight="15"/>
  <cols>
    <col min="1" max="1" width="36.28515625" style="35" bestFit="1" customWidth="1"/>
    <col min="2" max="2" width="20" style="35" bestFit="1" customWidth="1"/>
    <col min="3" max="4" width="8.85546875" style="35"/>
    <col min="5" max="5" width="9.85546875" style="35" customWidth="1"/>
    <col min="6" max="7" width="10.28515625" style="35" customWidth="1"/>
    <col min="8" max="14" width="8.85546875" style="35"/>
    <col min="15" max="15" width="3.42578125" style="35" customWidth="1"/>
    <col min="16" max="16384" width="8.85546875" style="35"/>
  </cols>
  <sheetData>
    <row r="1" spans="1:22" s="44" customFormat="1" ht="62.25">
      <c r="A1" s="1" t="s">
        <v>0</v>
      </c>
      <c r="B1" s="1" t="s">
        <v>241</v>
      </c>
      <c r="C1" s="2" t="s">
        <v>37</v>
      </c>
      <c r="D1" s="2" t="s">
        <v>1</v>
      </c>
      <c r="E1" s="2" t="s">
        <v>2</v>
      </c>
      <c r="F1" s="2" t="s">
        <v>8</v>
      </c>
      <c r="G1" s="2" t="s">
        <v>9</v>
      </c>
      <c r="H1" s="2" t="s">
        <v>3</v>
      </c>
      <c r="I1" s="2" t="s">
        <v>4</v>
      </c>
      <c r="J1" s="2" t="s">
        <v>5</v>
      </c>
      <c r="K1" s="2" t="s">
        <v>12</v>
      </c>
      <c r="L1" s="14" t="s">
        <v>40</v>
      </c>
      <c r="M1" s="2" t="s">
        <v>6</v>
      </c>
      <c r="N1" s="2" t="s">
        <v>7</v>
      </c>
      <c r="P1" s="14" t="s">
        <v>65</v>
      </c>
    </row>
    <row r="2" spans="1:22">
      <c r="A2" s="55" t="s">
        <v>193</v>
      </c>
      <c r="B2" s="55"/>
      <c r="C2" s="16"/>
      <c r="P2" s="17"/>
    </row>
    <row r="3" spans="1:22">
      <c r="A3" t="s">
        <v>254</v>
      </c>
      <c r="B3" t="s">
        <v>260</v>
      </c>
      <c r="C3" s="16"/>
      <c r="D3" s="81">
        <v>20</v>
      </c>
      <c r="E3" s="81">
        <v>7.7</v>
      </c>
      <c r="F3" s="16"/>
      <c r="G3" s="16"/>
      <c r="H3" s="16">
        <v>4.3</v>
      </c>
      <c r="I3" s="16">
        <v>3.9</v>
      </c>
      <c r="J3" s="16">
        <f t="shared" ref="J3:J7" si="0">H3-I3</f>
        <v>0.39999999999999991</v>
      </c>
      <c r="K3" s="11">
        <f t="shared" ref="K3:K7" si="1">J3/H3</f>
        <v>9.3023255813953473E-2</v>
      </c>
      <c r="L3" s="12">
        <f t="shared" ref="L3:L7" si="2">E3*0.5/J3</f>
        <v>9.6250000000000018</v>
      </c>
      <c r="M3" s="80">
        <v>0.1145</v>
      </c>
      <c r="N3" s="79">
        <v>4.4400000000000004</v>
      </c>
      <c r="P3" t="s">
        <v>239</v>
      </c>
    </row>
    <row r="4" spans="1:22">
      <c r="A4" t="s">
        <v>255</v>
      </c>
      <c r="B4" t="s">
        <v>260</v>
      </c>
      <c r="C4" s="16"/>
      <c r="D4" s="81">
        <v>16.2</v>
      </c>
      <c r="E4" s="81">
        <v>7.2</v>
      </c>
      <c r="F4" s="16"/>
      <c r="G4" s="16"/>
      <c r="H4" s="79">
        <v>4</v>
      </c>
      <c r="I4" s="16">
        <v>3.4</v>
      </c>
      <c r="J4" s="16">
        <f t="shared" si="0"/>
        <v>0.60000000000000009</v>
      </c>
      <c r="K4" s="11">
        <f t="shared" si="1"/>
        <v>0.15000000000000002</v>
      </c>
      <c r="L4" s="12">
        <f t="shared" si="2"/>
        <v>5.9999999999999991</v>
      </c>
      <c r="M4" s="80">
        <v>0.29770000000000002</v>
      </c>
      <c r="N4" s="79">
        <v>4.2119999999999997</v>
      </c>
      <c r="P4" t="s">
        <v>239</v>
      </c>
    </row>
    <row r="5" spans="1:22">
      <c r="A5" t="s">
        <v>256</v>
      </c>
      <c r="B5" t="s">
        <v>261</v>
      </c>
      <c r="C5" s="16"/>
      <c r="D5" s="81">
        <v>8.9</v>
      </c>
      <c r="E5" s="81">
        <v>2.8</v>
      </c>
      <c r="F5" s="16"/>
      <c r="G5" s="16"/>
      <c r="H5" s="16">
        <v>1.9</v>
      </c>
      <c r="I5" s="16">
        <v>1.7</v>
      </c>
      <c r="J5" s="16">
        <f t="shared" si="0"/>
        <v>0.19999999999999996</v>
      </c>
      <c r="K5" s="11">
        <f t="shared" si="1"/>
        <v>0.10526315789473682</v>
      </c>
      <c r="L5" s="12">
        <f t="shared" si="2"/>
        <v>7.0000000000000009</v>
      </c>
      <c r="M5" s="80">
        <v>9.1600000000000001E-2</v>
      </c>
      <c r="N5" s="79">
        <v>2.82</v>
      </c>
      <c r="P5" t="s">
        <v>239</v>
      </c>
    </row>
    <row r="6" spans="1:22">
      <c r="A6" t="s">
        <v>257</v>
      </c>
      <c r="B6" t="s">
        <v>261</v>
      </c>
      <c r="C6" s="16"/>
      <c r="D6" s="81">
        <v>12.3</v>
      </c>
      <c r="E6" s="81">
        <v>4.5999999999999996</v>
      </c>
      <c r="F6" s="16"/>
      <c r="G6" s="16"/>
      <c r="H6" s="16">
        <v>2.6</v>
      </c>
      <c r="I6" s="16">
        <v>2.2000000000000002</v>
      </c>
      <c r="J6" s="16">
        <f t="shared" si="0"/>
        <v>0.39999999999999991</v>
      </c>
      <c r="K6" s="11">
        <f t="shared" si="1"/>
        <v>0.1538461538461538</v>
      </c>
      <c r="L6" s="12">
        <f t="shared" si="2"/>
        <v>5.7500000000000009</v>
      </c>
      <c r="M6" s="80">
        <v>0.13739999999999999</v>
      </c>
      <c r="N6" s="79">
        <v>3.8759999999999999</v>
      </c>
      <c r="P6" t="s">
        <v>239</v>
      </c>
    </row>
    <row r="7" spans="1:22">
      <c r="A7" t="s">
        <v>258</v>
      </c>
      <c r="B7" t="s">
        <v>260</v>
      </c>
      <c r="C7" s="16"/>
      <c r="D7" s="81">
        <v>16.7</v>
      </c>
      <c r="E7" s="81">
        <v>7</v>
      </c>
      <c r="F7" s="16"/>
      <c r="G7" s="16"/>
      <c r="H7" s="16">
        <v>4.2</v>
      </c>
      <c r="I7" s="16">
        <v>3.5</v>
      </c>
      <c r="J7" s="16">
        <f t="shared" si="0"/>
        <v>0.70000000000000018</v>
      </c>
      <c r="K7" s="11">
        <f t="shared" si="1"/>
        <v>0.16666666666666671</v>
      </c>
      <c r="L7" s="12">
        <f t="shared" si="2"/>
        <v>4.9999999999999991</v>
      </c>
      <c r="M7" s="80">
        <v>0.32060000000000005</v>
      </c>
      <c r="N7" s="79">
        <v>4.6319999999999997</v>
      </c>
      <c r="P7" t="s">
        <v>239</v>
      </c>
    </row>
    <row r="8" spans="1:22">
      <c r="A8" s="30" t="s">
        <v>192</v>
      </c>
      <c r="B8" s="30"/>
      <c r="D8" s="31">
        <v>30</v>
      </c>
      <c r="E8" s="31">
        <v>17</v>
      </c>
      <c r="H8" s="31">
        <v>4.8</v>
      </c>
      <c r="I8" s="31">
        <v>3.7</v>
      </c>
      <c r="J8" s="35">
        <f>H8-I8</f>
        <v>1.0999999999999996</v>
      </c>
      <c r="K8" s="38">
        <f>J8/H8</f>
        <v>0.2291666666666666</v>
      </c>
      <c r="L8" s="37">
        <f>E8*0.5/J8</f>
        <v>7.7272727272727302</v>
      </c>
      <c r="M8" s="32">
        <v>1</v>
      </c>
      <c r="N8" s="31">
        <v>5.7</v>
      </c>
      <c r="P8" s="35" t="s">
        <v>183</v>
      </c>
    </row>
    <row r="9" spans="1:22">
      <c r="A9" s="30" t="s">
        <v>193</v>
      </c>
      <c r="B9" s="30"/>
      <c r="E9" s="35">
        <v>17</v>
      </c>
      <c r="H9" s="31">
        <v>3.5</v>
      </c>
      <c r="I9" s="32">
        <v>3</v>
      </c>
      <c r="J9" s="35">
        <f>H9-I9</f>
        <v>0.5</v>
      </c>
      <c r="K9" s="38">
        <f>J9/H9</f>
        <v>0.14285714285714285</v>
      </c>
      <c r="L9" s="37">
        <f>E9*0.5/J9</f>
        <v>17</v>
      </c>
      <c r="M9" s="31">
        <v>0.5</v>
      </c>
      <c r="N9" s="32"/>
      <c r="P9" s="35" t="s">
        <v>183</v>
      </c>
    </row>
    <row r="10" spans="1:22">
      <c r="A10" s="30" t="s">
        <v>193</v>
      </c>
      <c r="B10" s="30"/>
      <c r="D10" s="34">
        <v>37.666666666666664</v>
      </c>
      <c r="E10" s="34">
        <v>16.333333333333332</v>
      </c>
      <c r="H10" s="37">
        <v>4.6066666666666665</v>
      </c>
      <c r="I10" s="37">
        <v>3.4666666666666663</v>
      </c>
      <c r="J10" s="37">
        <v>1.1333333333333335</v>
      </c>
      <c r="K10" s="38">
        <f>J10/H10</f>
        <v>0.24602026049204057</v>
      </c>
      <c r="L10" s="37">
        <f>E10*0.5/J10</f>
        <v>7.2058823529411749</v>
      </c>
      <c r="M10" s="37">
        <v>1.86</v>
      </c>
      <c r="N10" s="37">
        <v>4.0333333333333332</v>
      </c>
      <c r="P10" s="35" t="s">
        <v>204</v>
      </c>
    </row>
    <row r="11" spans="1:22">
      <c r="A11" t="s">
        <v>193</v>
      </c>
      <c r="B11" t="s">
        <v>269</v>
      </c>
      <c r="C11" s="8"/>
      <c r="D11" s="51">
        <v>68</v>
      </c>
      <c r="E11"/>
      <c r="F11"/>
      <c r="G11"/>
      <c r="H11" s="91">
        <v>6.8</v>
      </c>
      <c r="I11" s="92"/>
      <c r="J11" s="75"/>
      <c r="K11" s="11"/>
      <c r="L11" s="12"/>
      <c r="M11" s="7">
        <v>3.9</v>
      </c>
      <c r="N11" s="7">
        <v>7.2</v>
      </c>
      <c r="O11" s="5"/>
      <c r="P11" t="s">
        <v>233</v>
      </c>
      <c r="Q11"/>
      <c r="R11"/>
      <c r="S11"/>
      <c r="T11"/>
      <c r="U11"/>
      <c r="V11"/>
    </row>
    <row r="12" spans="1:22">
      <c r="A12" t="s">
        <v>193</v>
      </c>
      <c r="B12" t="s">
        <v>248</v>
      </c>
      <c r="C12" s="8"/>
      <c r="D12" s="51">
        <v>58</v>
      </c>
      <c r="E12"/>
      <c r="F12"/>
      <c r="G12"/>
      <c r="H12" s="91">
        <v>6.8</v>
      </c>
      <c r="I12" s="92"/>
      <c r="J12" s="75"/>
      <c r="K12" s="11"/>
      <c r="L12" s="12"/>
      <c r="M12" s="7">
        <v>1.5</v>
      </c>
      <c r="N12" s="7">
        <v>7.2</v>
      </c>
      <c r="O12" s="5"/>
      <c r="P12" t="s">
        <v>233</v>
      </c>
      <c r="Q12"/>
      <c r="R12"/>
      <c r="S12"/>
      <c r="T12"/>
      <c r="U12"/>
      <c r="V12"/>
    </row>
    <row r="13" spans="1:22">
      <c r="A13" t="s">
        <v>193</v>
      </c>
      <c r="B13" t="s">
        <v>248</v>
      </c>
      <c r="C13" s="8"/>
      <c r="D13" s="51"/>
      <c r="E13"/>
      <c r="F13"/>
      <c r="G13"/>
      <c r="H13" s="91">
        <v>3.3</v>
      </c>
      <c r="I13" s="92"/>
      <c r="J13" s="75"/>
      <c r="K13" s="11"/>
      <c r="L13" s="12"/>
      <c r="M13" s="7">
        <v>0.6</v>
      </c>
      <c r="N13" s="7">
        <v>3.4</v>
      </c>
      <c r="O13" s="5"/>
      <c r="P13" s="24" t="s">
        <v>234</v>
      </c>
      <c r="Q13"/>
      <c r="R13"/>
      <c r="S13"/>
      <c r="T13"/>
      <c r="U13"/>
      <c r="V13"/>
    </row>
    <row r="14" spans="1:22">
      <c r="A14" t="s">
        <v>193</v>
      </c>
      <c r="B14" t="s">
        <v>270</v>
      </c>
      <c r="C14" s="8"/>
      <c r="D14" s="51">
        <v>36</v>
      </c>
      <c r="E14"/>
      <c r="F14"/>
      <c r="G14"/>
      <c r="H14" s="91">
        <v>6.2</v>
      </c>
      <c r="I14" s="92"/>
      <c r="J14" s="75"/>
      <c r="K14" s="11"/>
      <c r="L14" s="12"/>
      <c r="M14" s="7">
        <v>0.8</v>
      </c>
      <c r="N14" s="7">
        <v>7.2</v>
      </c>
      <c r="O14" s="5"/>
      <c r="P14" t="s">
        <v>233</v>
      </c>
      <c r="Q14"/>
      <c r="R14"/>
      <c r="S14"/>
      <c r="T14"/>
      <c r="U14"/>
      <c r="V14"/>
    </row>
    <row r="15" spans="1:22">
      <c r="A15" t="s">
        <v>193</v>
      </c>
      <c r="B15" t="s">
        <v>271</v>
      </c>
      <c r="C15" s="8"/>
      <c r="D15" s="51">
        <v>27</v>
      </c>
      <c r="E15"/>
      <c r="F15"/>
      <c r="G15"/>
      <c r="H15" s="91">
        <v>4.4000000000000004</v>
      </c>
      <c r="I15" s="92"/>
      <c r="J15" s="75"/>
      <c r="K15" s="11"/>
      <c r="L15" s="12"/>
      <c r="M15" s="7">
        <v>0.5</v>
      </c>
      <c r="N15" s="7">
        <v>5.9</v>
      </c>
      <c r="O15" s="5"/>
      <c r="P15" t="s">
        <v>233</v>
      </c>
      <c r="Q15"/>
      <c r="R15"/>
      <c r="S15"/>
      <c r="T15"/>
      <c r="U15"/>
      <c r="V15"/>
    </row>
    <row r="16" spans="1:22">
      <c r="A16" t="s">
        <v>267</v>
      </c>
      <c r="B16" t="s">
        <v>272</v>
      </c>
      <c r="C16" s="8"/>
      <c r="D16" s="51">
        <v>34</v>
      </c>
      <c r="E16"/>
      <c r="F16"/>
      <c r="G16"/>
      <c r="H16" s="91">
        <v>5.8</v>
      </c>
      <c r="I16" s="92"/>
      <c r="J16" s="75"/>
      <c r="K16" s="11"/>
      <c r="L16" s="12"/>
      <c r="M16" s="7">
        <v>1.9</v>
      </c>
      <c r="N16" s="7">
        <v>7.7</v>
      </c>
      <c r="O16" s="5"/>
      <c r="P16" t="s">
        <v>233</v>
      </c>
      <c r="Q16"/>
      <c r="R16"/>
      <c r="S16"/>
      <c r="T16"/>
      <c r="U16"/>
      <c r="V16"/>
    </row>
    <row r="17" spans="1:22">
      <c r="A17" t="s">
        <v>268</v>
      </c>
      <c r="B17" t="s">
        <v>273</v>
      </c>
      <c r="C17" s="8"/>
      <c r="D17" s="51">
        <v>29</v>
      </c>
      <c r="E17"/>
      <c r="F17"/>
      <c r="G17"/>
      <c r="H17" s="91">
        <v>3.4</v>
      </c>
      <c r="I17" s="92"/>
      <c r="J17" s="75"/>
      <c r="K17" s="11"/>
      <c r="L17" s="12"/>
      <c r="M17" s="7">
        <v>1.8</v>
      </c>
      <c r="N17" s="7">
        <v>4.3</v>
      </c>
      <c r="O17" s="5"/>
      <c r="P17" t="s">
        <v>233</v>
      </c>
      <c r="Q17"/>
      <c r="R17"/>
      <c r="S17"/>
      <c r="T17"/>
      <c r="U17"/>
      <c r="V17"/>
    </row>
    <row r="18" spans="1:22">
      <c r="A18" s="30"/>
      <c r="B18" s="30"/>
      <c r="D18" s="34"/>
      <c r="H18" s="93"/>
      <c r="I18" s="93"/>
      <c r="J18" s="37"/>
      <c r="K18" s="38"/>
      <c r="L18" s="37"/>
      <c r="M18" s="37"/>
      <c r="N18" s="37"/>
    </row>
    <row r="19" spans="1:22">
      <c r="A19" s="53" t="s">
        <v>205</v>
      </c>
      <c r="B19" s="30"/>
      <c r="D19" s="34">
        <f>AVERAGE(D3:D10)</f>
        <v>20.252380952380953</v>
      </c>
      <c r="E19" s="34">
        <f>AVERAGE(E3:E10)</f>
        <v>9.9541666666666657</v>
      </c>
      <c r="H19" s="36">
        <f>AVERAGE(H3:H10)</f>
        <v>3.7383333333333333</v>
      </c>
      <c r="I19" s="36">
        <f>AVERAGE(I3:I10)</f>
        <v>3.1083333333333329</v>
      </c>
      <c r="J19" s="36">
        <f>H19-I19</f>
        <v>0.63000000000000034</v>
      </c>
      <c r="K19" s="38">
        <f>J19/H19</f>
        <v>0.16852429781542586</v>
      </c>
      <c r="L19" s="37">
        <f>E19*0.5/J19</f>
        <v>7.90013227513227</v>
      </c>
      <c r="M19" s="36">
        <f>AVERAGE(M3:M10)</f>
        <v>0.54022500000000007</v>
      </c>
      <c r="N19" s="36">
        <f>AVERAGE(N3:N10)</f>
        <v>4.2447619047619041</v>
      </c>
    </row>
    <row r="20" spans="1:22">
      <c r="A20" s="53" t="s">
        <v>205</v>
      </c>
      <c r="B20" s="53"/>
      <c r="D20" s="34">
        <f>AVERAGE(D3:D17)</f>
        <v>30.289743589743587</v>
      </c>
      <c r="E20" s="34">
        <f>D20*E19/D19</f>
        <v>14.887590584625029</v>
      </c>
      <c r="H20" s="36">
        <f>AVERAGE(H3:H17)</f>
        <v>4.4404444444444433</v>
      </c>
      <c r="I20" s="36">
        <f>H20*I19/H19</f>
        <v>3.6921216624560347</v>
      </c>
      <c r="J20" s="36">
        <f>H20-I20</f>
        <v>0.74832278198840863</v>
      </c>
      <c r="K20" s="38">
        <f>J20/H20</f>
        <v>0.16852429781542586</v>
      </c>
      <c r="L20" s="37">
        <f>E20*0.5/J20</f>
        <v>9.9473054562540604</v>
      </c>
      <c r="M20" s="36">
        <f>AVERAGE(M3:M17)</f>
        <v>1.0214533333333333</v>
      </c>
      <c r="N20" s="36">
        <f>AVERAGE(N3:N17)</f>
        <v>5.1866666666666665</v>
      </c>
    </row>
    <row r="21" spans="1:22">
      <c r="A21" s="53" t="s">
        <v>177</v>
      </c>
      <c r="B21" s="53"/>
      <c r="D21" s="34">
        <f>_xlfn.STDEV.S(D3:D17)</f>
        <v>17.256680856643158</v>
      </c>
      <c r="E21" s="34">
        <f>_xlfn.STDEV.S(E3:E10)*E20/E19</f>
        <v>8.7797271890306927</v>
      </c>
      <c r="H21" s="36">
        <f>_xlfn.STDEV.S(H3:H17)</f>
        <v>1.4545046976011873</v>
      </c>
      <c r="I21" s="36">
        <f>_xlfn.STDEV.S(I3:I10)*I20/I19</f>
        <v>0.9161128263967584</v>
      </c>
      <c r="J21" s="36">
        <f>_xlfn.STDEV.S(J3:J10)*J20/J19</f>
        <v>0.3984400382155564</v>
      </c>
      <c r="K21" s="83">
        <f>_xlfn.STDEV.S(K3:K10)*K20/K19</f>
        <v>5.3633487812660148E-2</v>
      </c>
      <c r="L21" s="36">
        <f>_xlfn.STDEV.S(L3:L10)*L20/L19</f>
        <v>4.8344798692071764</v>
      </c>
      <c r="M21" s="36">
        <f>_xlfn.STDEV.S(M3:M17)</f>
        <v>1.0299405508964836</v>
      </c>
      <c r="N21" s="36">
        <f>_xlfn.STDEV.S(N3:N17)</f>
        <v>1.6098821319067083</v>
      </c>
    </row>
    <row r="22" spans="1:22">
      <c r="A22" s="53"/>
      <c r="B22" s="53"/>
      <c r="D22" s="34"/>
      <c r="E22" s="34"/>
      <c r="H22" s="36"/>
      <c r="I22" s="36"/>
      <c r="J22" s="36"/>
      <c r="K22" s="38"/>
      <c r="L22" s="37"/>
      <c r="M22" s="36"/>
      <c r="N22" s="36"/>
    </row>
    <row r="23" spans="1:22">
      <c r="A23" s="53"/>
      <c r="B23" s="53"/>
      <c r="D23" s="34"/>
      <c r="E23" s="34"/>
      <c r="H23" s="37"/>
      <c r="I23" s="37"/>
      <c r="J23" s="37"/>
      <c r="K23" s="38"/>
      <c r="L23" s="37"/>
      <c r="M23" s="37"/>
      <c r="N23" s="37"/>
    </row>
    <row r="24" spans="1:22">
      <c r="A24" s="55" t="s">
        <v>195</v>
      </c>
      <c r="B24" s="55"/>
      <c r="K24" s="38"/>
      <c r="L24" s="37"/>
    </row>
    <row r="25" spans="1:22">
      <c r="A25" s="30" t="s">
        <v>195</v>
      </c>
      <c r="B25" s="30"/>
      <c r="H25" s="32">
        <v>7</v>
      </c>
      <c r="I25" s="45"/>
      <c r="K25" s="38"/>
      <c r="L25" s="37"/>
      <c r="M25" s="31">
        <v>0.1</v>
      </c>
      <c r="N25" s="31">
        <v>8.6</v>
      </c>
      <c r="P25" s="35" t="s">
        <v>183</v>
      </c>
    </row>
    <row r="26" spans="1:22">
      <c r="A26" s="30" t="s">
        <v>195</v>
      </c>
      <c r="B26" s="30"/>
      <c r="D26" s="35">
        <v>73</v>
      </c>
      <c r="E26" s="35">
        <v>46</v>
      </c>
      <c r="H26" s="32">
        <v>5</v>
      </c>
      <c r="I26" s="35">
        <v>2.6</v>
      </c>
      <c r="J26" s="35">
        <v>2.4</v>
      </c>
      <c r="K26" s="38">
        <f t="shared" ref="K26:K41" si="3">J26/H26</f>
        <v>0.48</v>
      </c>
      <c r="L26" s="37">
        <f t="shared" ref="L26:L41" si="4">E26*0.5/J26</f>
        <v>9.5833333333333339</v>
      </c>
      <c r="M26" s="31">
        <v>1.8</v>
      </c>
      <c r="N26" s="32">
        <v>6</v>
      </c>
      <c r="P26" s="35" t="s">
        <v>196</v>
      </c>
    </row>
    <row r="27" spans="1:22">
      <c r="A27" s="30" t="s">
        <v>195</v>
      </c>
      <c r="B27" s="30" t="s">
        <v>360</v>
      </c>
      <c r="D27" s="35">
        <v>51</v>
      </c>
      <c r="E27" s="35">
        <v>36</v>
      </c>
      <c r="H27" s="32">
        <v>3.15</v>
      </c>
      <c r="I27" s="50">
        <v>1.6</v>
      </c>
      <c r="J27" s="37">
        <f>H27-I27</f>
        <v>1.5499999999999998</v>
      </c>
      <c r="K27" s="38">
        <f t="shared" ref="K27" si="5">J27/H27</f>
        <v>0.49206349206349204</v>
      </c>
      <c r="L27" s="37">
        <f t="shared" ref="L27" si="6">E27*0.5/J27</f>
        <v>11.612903225806454</v>
      </c>
      <c r="M27" s="31">
        <v>0.91</v>
      </c>
      <c r="N27" s="32">
        <v>5.7</v>
      </c>
      <c r="P27" s="35" t="s">
        <v>359</v>
      </c>
    </row>
    <row r="28" spans="1:22">
      <c r="A28" s="30" t="s">
        <v>195</v>
      </c>
      <c r="B28" s="30" t="s">
        <v>250</v>
      </c>
      <c r="D28" s="35">
        <v>44</v>
      </c>
      <c r="E28" s="35">
        <v>31</v>
      </c>
      <c r="H28" s="32">
        <v>2.72</v>
      </c>
      <c r="I28" s="50">
        <v>1.4</v>
      </c>
      <c r="J28" s="37">
        <f>H28-I28</f>
        <v>1.3200000000000003</v>
      </c>
      <c r="K28" s="38">
        <f t="shared" ref="K28" si="7">J28/H28</f>
        <v>0.48529411764705888</v>
      </c>
      <c r="L28" s="37">
        <f t="shared" ref="L28" si="8">E28*0.5/J28</f>
        <v>11.74242424242424</v>
      </c>
      <c r="M28" s="31">
        <v>0.78</v>
      </c>
      <c r="N28" s="32">
        <v>5.0999999999999996</v>
      </c>
      <c r="P28" s="35" t="s">
        <v>359</v>
      </c>
    </row>
    <row r="29" spans="1:22">
      <c r="A29" s="30"/>
      <c r="B29" s="30"/>
      <c r="H29" s="31"/>
      <c r="K29" s="38"/>
      <c r="L29" s="37"/>
      <c r="M29" s="31"/>
      <c r="N29" s="31"/>
    </row>
    <row r="30" spans="1:22">
      <c r="A30" s="53" t="s">
        <v>207</v>
      </c>
      <c r="B30" s="53"/>
      <c r="H30" s="31"/>
      <c r="K30" s="38"/>
      <c r="L30" s="37"/>
      <c r="M30" s="31"/>
      <c r="N30" s="31"/>
    </row>
    <row r="31" spans="1:22">
      <c r="A31" s="53"/>
      <c r="B31" s="53"/>
      <c r="H31" s="31"/>
      <c r="K31" s="38"/>
      <c r="L31" s="37"/>
      <c r="M31" s="31"/>
      <c r="N31" s="31"/>
    </row>
    <row r="32" spans="1:22">
      <c r="A32" s="30"/>
      <c r="B32" s="30"/>
      <c r="H32" s="31"/>
      <c r="K32" s="38"/>
      <c r="L32" s="37"/>
      <c r="M32" s="31"/>
      <c r="N32" s="31"/>
    </row>
    <row r="33" spans="1:22">
      <c r="A33" s="55" t="s">
        <v>262</v>
      </c>
      <c r="B33" s="30"/>
      <c r="H33" s="31"/>
      <c r="K33" s="38"/>
      <c r="L33" s="37"/>
      <c r="M33" s="31"/>
      <c r="N33" s="31"/>
    </row>
    <row r="34" spans="1:22">
      <c r="A34" s="30" t="s">
        <v>263</v>
      </c>
      <c r="B34" s="30" t="s">
        <v>259</v>
      </c>
      <c r="D34" s="81">
        <v>11.8</v>
      </c>
      <c r="E34" s="81">
        <v>3.4</v>
      </c>
      <c r="F34" s="16"/>
      <c r="G34" s="16"/>
      <c r="H34" s="16">
        <v>3.1</v>
      </c>
      <c r="I34" s="16">
        <v>2.9</v>
      </c>
      <c r="J34" s="16">
        <f>H34-I34</f>
        <v>0.20000000000000018</v>
      </c>
      <c r="K34" s="11">
        <f t="shared" ref="K34" si="9">J34/H34</f>
        <v>6.4516129032258118E-2</v>
      </c>
      <c r="L34" s="12">
        <f t="shared" ref="L34" si="10">E34*0.5/J34</f>
        <v>8.4999999999999929</v>
      </c>
      <c r="M34" s="80">
        <v>0.16030000000000003</v>
      </c>
      <c r="N34" s="79">
        <v>3.9119999999999995</v>
      </c>
      <c r="P34" t="s">
        <v>239</v>
      </c>
    </row>
    <row r="35" spans="1:22">
      <c r="A35" s="30"/>
      <c r="B35" s="30"/>
      <c r="H35" s="31"/>
      <c r="K35" s="38"/>
      <c r="L35" s="37"/>
      <c r="M35" s="31"/>
      <c r="N35" s="31"/>
    </row>
    <row r="36" spans="1:22">
      <c r="A36" s="30"/>
      <c r="B36" s="30"/>
      <c r="H36" s="31"/>
      <c r="K36" s="38"/>
      <c r="L36" s="37"/>
      <c r="M36" s="31"/>
      <c r="N36" s="31"/>
    </row>
    <row r="37" spans="1:22">
      <c r="A37" s="55" t="s">
        <v>198</v>
      </c>
      <c r="B37" s="55"/>
    </row>
    <row r="38" spans="1:22">
      <c r="A38" s="30" t="s">
        <v>264</v>
      </c>
      <c r="B38" s="30" t="s">
        <v>259</v>
      </c>
      <c r="D38" s="81">
        <v>18.2</v>
      </c>
      <c r="E38" s="81">
        <v>7.6</v>
      </c>
      <c r="F38" s="16"/>
      <c r="G38" s="16"/>
      <c r="H38" s="16">
        <v>3.3</v>
      </c>
      <c r="I38" s="16">
        <v>3.2</v>
      </c>
      <c r="J38" s="16">
        <f>H38-I38</f>
        <v>9.9999999999999645E-2</v>
      </c>
      <c r="K38" s="11">
        <f>J38/H38</f>
        <v>3.0303030303030196E-2</v>
      </c>
      <c r="L38" s="12">
        <f>E38*0.5/J38</f>
        <v>38.000000000000135</v>
      </c>
      <c r="M38" s="80">
        <v>0.16030000000000003</v>
      </c>
      <c r="N38" s="79">
        <v>4.5599999999999996</v>
      </c>
      <c r="P38" t="s">
        <v>239</v>
      </c>
    </row>
    <row r="39" spans="1:22">
      <c r="A39" s="30" t="s">
        <v>198</v>
      </c>
      <c r="B39" s="30"/>
      <c r="D39" s="34">
        <v>46</v>
      </c>
      <c r="E39" s="34">
        <v>30.2</v>
      </c>
      <c r="H39" s="37">
        <v>3.3380000000000001</v>
      </c>
      <c r="I39" s="37">
        <v>1.98</v>
      </c>
      <c r="J39" s="37">
        <v>1.3599999999999999</v>
      </c>
      <c r="K39" s="38">
        <f t="shared" si="3"/>
        <v>0.40742959856201316</v>
      </c>
      <c r="L39" s="37">
        <f t="shared" si="4"/>
        <v>11.102941176470589</v>
      </c>
      <c r="M39" s="37">
        <v>1.0619999999999998</v>
      </c>
      <c r="N39" s="37">
        <v>5.0199999999999996</v>
      </c>
      <c r="P39" s="35" t="s">
        <v>197</v>
      </c>
    </row>
    <row r="40" spans="1:22">
      <c r="A40" s="30" t="s">
        <v>198</v>
      </c>
      <c r="B40" s="30"/>
      <c r="D40" s="34">
        <v>57.909090909090907</v>
      </c>
      <c r="E40" s="34">
        <v>35.545454545454547</v>
      </c>
      <c r="H40" s="37">
        <v>4.2363636363636354</v>
      </c>
      <c r="I40" s="37">
        <v>2.1727272727272728</v>
      </c>
      <c r="J40" s="37">
        <v>2.0727272727272728</v>
      </c>
      <c r="K40" s="38">
        <f t="shared" si="3"/>
        <v>0.48927038626609454</v>
      </c>
      <c r="L40" s="37">
        <f t="shared" si="4"/>
        <v>8.5745614035087723</v>
      </c>
      <c r="M40" s="37">
        <v>1.3681818181818182</v>
      </c>
      <c r="N40" s="37">
        <v>5.1363636363636367</v>
      </c>
      <c r="P40" s="35" t="s">
        <v>197</v>
      </c>
    </row>
    <row r="41" spans="1:22">
      <c r="A41" s="30" t="s">
        <v>198</v>
      </c>
      <c r="B41" s="30"/>
      <c r="D41" s="34">
        <v>69.666666666666671</v>
      </c>
      <c r="E41" s="34">
        <v>45.777777777777779</v>
      </c>
      <c r="F41" s="10"/>
      <c r="H41" s="37">
        <v>5.0988888888888892</v>
      </c>
      <c r="I41" s="37">
        <v>3.0333333333333332</v>
      </c>
      <c r="J41" s="37">
        <v>2.0555555555555554</v>
      </c>
      <c r="K41" s="38">
        <f t="shared" si="3"/>
        <v>0.40313793854870333</v>
      </c>
      <c r="L41" s="37">
        <f t="shared" si="4"/>
        <v>11.135135135135137</v>
      </c>
      <c r="M41" s="36">
        <v>1.5711111111111111</v>
      </c>
      <c r="N41" s="36">
        <v>3.7666666666666666</v>
      </c>
      <c r="P41" s="35" t="s">
        <v>201</v>
      </c>
    </row>
    <row r="42" spans="1:22">
      <c r="E42" s="10"/>
      <c r="F42" s="10"/>
      <c r="H42" s="10"/>
      <c r="I42" s="10"/>
      <c r="J42" s="10"/>
      <c r="L42" s="37"/>
      <c r="M42" s="10"/>
      <c r="N42" s="10"/>
    </row>
    <row r="43" spans="1:22">
      <c r="A43" s="53" t="s">
        <v>206</v>
      </c>
      <c r="B43" s="53"/>
      <c r="D43" s="41">
        <f>AVERAGE(D39:D41)</f>
        <v>57.858585858585855</v>
      </c>
      <c r="E43" s="41">
        <f>AVERAGE(E39:E41)</f>
        <v>37.174410774410774</v>
      </c>
      <c r="H43" s="37">
        <f t="shared" ref="H43:N43" si="11">AVERAGE(H39:H41)</f>
        <v>4.2244175084175088</v>
      </c>
      <c r="I43" s="37">
        <f t="shared" si="11"/>
        <v>2.3953535353535353</v>
      </c>
      <c r="J43" s="37">
        <f t="shared" si="11"/>
        <v>1.8294276094276094</v>
      </c>
      <c r="K43" s="38">
        <f t="shared" ref="K43" si="12">J43/H43</f>
        <v>0.43306032270302836</v>
      </c>
      <c r="L43" s="37">
        <f t="shared" ref="L43" si="13">E43*0.5/J43</f>
        <v>10.160120734714912</v>
      </c>
      <c r="M43" s="37">
        <f t="shared" si="11"/>
        <v>1.3337643097643097</v>
      </c>
      <c r="N43" s="37">
        <f t="shared" si="11"/>
        <v>4.6410101010101004</v>
      </c>
    </row>
    <row r="44" spans="1:22">
      <c r="A44" s="43"/>
      <c r="B44" s="43"/>
      <c r="C44" s="43"/>
    </row>
    <row r="45" spans="1:22">
      <c r="A45" s="43"/>
      <c r="B45" s="43"/>
      <c r="C45" s="43"/>
    </row>
    <row r="46" spans="1:22" customForma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customForma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customForma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customForma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customForma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customForma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customForma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</row>
    <row r="53" spans="1:22" customFormat="1">
      <c r="A53" t="s">
        <v>235</v>
      </c>
      <c r="C53" s="8"/>
      <c r="D53" s="77">
        <v>52</v>
      </c>
      <c r="E53" s="77"/>
      <c r="F53" s="76"/>
      <c r="H53" s="74">
        <v>4.9000000000000004</v>
      </c>
      <c r="I53" s="74"/>
      <c r="J53" s="75"/>
      <c r="K53" s="11"/>
      <c r="L53" s="12"/>
      <c r="M53" s="75">
        <v>1.1000000000000001</v>
      </c>
      <c r="N53" s="75">
        <v>6.7</v>
      </c>
      <c r="O53" s="5"/>
      <c r="P53" t="s">
        <v>233</v>
      </c>
    </row>
    <row r="54" spans="1:22" customFormat="1">
      <c r="A54" t="s">
        <v>236</v>
      </c>
      <c r="C54" s="8"/>
      <c r="D54" s="77">
        <v>22</v>
      </c>
      <c r="E54" s="77"/>
      <c r="F54" s="76"/>
      <c r="H54" s="74">
        <v>2.2000000000000002</v>
      </c>
      <c r="I54" s="74"/>
      <c r="J54" s="75"/>
      <c r="K54" s="11"/>
      <c r="L54" s="12"/>
      <c r="M54" s="75">
        <v>0.2</v>
      </c>
      <c r="N54" s="75">
        <v>4.5</v>
      </c>
      <c r="O54" s="5"/>
      <c r="P54" t="s">
        <v>233</v>
      </c>
    </row>
    <row r="55" spans="1:22">
      <c r="C55" s="33"/>
      <c r="D55" s="33"/>
      <c r="E55" s="33"/>
    </row>
    <row r="56" spans="1:22">
      <c r="C56" s="33"/>
      <c r="D56" s="33"/>
      <c r="E56" s="33"/>
    </row>
    <row r="57" spans="1:22">
      <c r="C57" s="33"/>
      <c r="D57" s="46"/>
      <c r="E57" s="33"/>
    </row>
    <row r="58" spans="1:22">
      <c r="C58" s="33"/>
      <c r="D58" s="33"/>
      <c r="E58" s="33"/>
    </row>
    <row r="59" spans="1:22">
      <c r="C59" s="46"/>
      <c r="D59" s="46"/>
      <c r="E59" s="33"/>
    </row>
    <row r="60" spans="1:22">
      <c r="C60" s="33"/>
      <c r="D60" s="33"/>
      <c r="E60" s="3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zoomScaleNormal="100" workbookViewId="0">
      <selection activeCell="H3" sqref="H3:H15"/>
    </sheetView>
  </sheetViews>
  <sheetFormatPr defaultColWidth="8.85546875" defaultRowHeight="15"/>
  <cols>
    <col min="1" max="1" width="36.7109375" style="35" bestFit="1" customWidth="1"/>
    <col min="2" max="2" width="19.28515625" style="35" bestFit="1" customWidth="1"/>
    <col min="3" max="4" width="8.85546875" style="35"/>
    <col min="5" max="5" width="9.85546875" style="35" customWidth="1"/>
    <col min="6" max="7" width="10.28515625" style="35" customWidth="1"/>
    <col min="8" max="14" width="8.85546875" style="35"/>
    <col min="15" max="15" width="3.42578125" style="35" customWidth="1"/>
    <col min="16" max="16384" width="8.85546875" style="35"/>
  </cols>
  <sheetData>
    <row r="1" spans="1:16" s="44" customFormat="1" ht="62.25">
      <c r="A1" s="1" t="s">
        <v>70</v>
      </c>
      <c r="B1" s="1" t="s">
        <v>241</v>
      </c>
      <c r="C1" s="2" t="s">
        <v>37</v>
      </c>
      <c r="D1" s="2" t="s">
        <v>1</v>
      </c>
      <c r="E1" s="2" t="s">
        <v>2</v>
      </c>
      <c r="F1" s="2" t="s">
        <v>8</v>
      </c>
      <c r="G1" s="2" t="s">
        <v>9</v>
      </c>
      <c r="H1" s="2" t="s">
        <v>3</v>
      </c>
      <c r="I1" s="2" t="s">
        <v>4</v>
      </c>
      <c r="J1" s="2" t="s">
        <v>5</v>
      </c>
      <c r="K1" s="2" t="s">
        <v>12</v>
      </c>
      <c r="L1" s="2" t="s">
        <v>40</v>
      </c>
      <c r="M1" s="2" t="s">
        <v>6</v>
      </c>
      <c r="N1" s="2" t="s">
        <v>7</v>
      </c>
      <c r="P1" s="14" t="s">
        <v>65</v>
      </c>
    </row>
    <row r="2" spans="1:16">
      <c r="A2" s="47" t="s">
        <v>84</v>
      </c>
      <c r="B2" s="4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7"/>
    </row>
    <row r="3" spans="1:16">
      <c r="A3" s="35" t="s">
        <v>75</v>
      </c>
      <c r="B3" s="35" t="s">
        <v>249</v>
      </c>
      <c r="D3" s="35">
        <v>283</v>
      </c>
      <c r="E3" s="35">
        <v>212</v>
      </c>
      <c r="H3" s="35">
        <v>12.8</v>
      </c>
      <c r="I3" s="37">
        <v>5.56</v>
      </c>
      <c r="J3" s="37">
        <f t="shared" ref="J3:J35" si="0">H3-I3</f>
        <v>7.2400000000000011</v>
      </c>
      <c r="K3" s="38">
        <f t="shared" ref="K3:K35" si="1">J3/H3</f>
        <v>0.56562500000000004</v>
      </c>
      <c r="L3" s="39">
        <f t="shared" ref="L3:L35" si="2">E3*0.5/J3</f>
        <v>14.64088397790055</v>
      </c>
      <c r="M3" s="37">
        <v>14.54</v>
      </c>
      <c r="N3" s="37">
        <v>4.75</v>
      </c>
      <c r="P3" t="s">
        <v>239</v>
      </c>
    </row>
    <row r="4" spans="1:16">
      <c r="A4" s="35" t="s">
        <v>76</v>
      </c>
      <c r="B4" s="35" t="s">
        <v>249</v>
      </c>
      <c r="D4" s="35">
        <v>290</v>
      </c>
      <c r="E4" s="35">
        <v>233</v>
      </c>
      <c r="H4" s="35">
        <v>12.6</v>
      </c>
      <c r="I4" s="37">
        <v>5.38</v>
      </c>
      <c r="J4" s="37">
        <f t="shared" si="0"/>
        <v>7.22</v>
      </c>
      <c r="K4" s="38">
        <f t="shared" si="1"/>
        <v>0.57301587301587298</v>
      </c>
      <c r="L4" s="39">
        <f t="shared" si="2"/>
        <v>16.13573407202216</v>
      </c>
      <c r="M4" s="37">
        <v>15.78</v>
      </c>
      <c r="N4" s="37">
        <v>4.3600000000000003</v>
      </c>
      <c r="P4" t="s">
        <v>239</v>
      </c>
    </row>
    <row r="5" spans="1:16">
      <c r="A5" s="35" t="s">
        <v>77</v>
      </c>
      <c r="B5" s="35" t="s">
        <v>250</v>
      </c>
      <c r="D5" s="35">
        <v>240</v>
      </c>
      <c r="E5" s="35">
        <v>160</v>
      </c>
      <c r="H5" s="35">
        <v>10.9</v>
      </c>
      <c r="I5" s="37">
        <v>4.28</v>
      </c>
      <c r="J5" s="37">
        <f t="shared" si="0"/>
        <v>6.62</v>
      </c>
      <c r="K5" s="38">
        <f t="shared" si="1"/>
        <v>0.60733944954128438</v>
      </c>
      <c r="L5" s="39">
        <f t="shared" si="2"/>
        <v>12.084592145015106</v>
      </c>
      <c r="M5" s="37">
        <v>16.170000000000002</v>
      </c>
      <c r="N5" s="37">
        <v>3.32</v>
      </c>
      <c r="P5" t="s">
        <v>239</v>
      </c>
    </row>
    <row r="6" spans="1:16">
      <c r="A6" s="35" t="s">
        <v>78</v>
      </c>
      <c r="B6" s="35" t="s">
        <v>250</v>
      </c>
      <c r="D6" s="35">
        <v>188</v>
      </c>
      <c r="E6" s="35">
        <v>142</v>
      </c>
      <c r="H6" s="37">
        <v>8.85</v>
      </c>
      <c r="I6" s="37">
        <v>3.48</v>
      </c>
      <c r="J6" s="37">
        <f t="shared" si="0"/>
        <v>5.3699999999999992</v>
      </c>
      <c r="K6" s="38">
        <f t="shared" si="1"/>
        <v>0.60677966101694913</v>
      </c>
      <c r="L6" s="39">
        <f t="shared" si="2"/>
        <v>13.221601489757916</v>
      </c>
      <c r="M6" s="37">
        <v>11.54</v>
      </c>
      <c r="N6" s="37">
        <v>4.03</v>
      </c>
      <c r="P6" t="s">
        <v>239</v>
      </c>
    </row>
    <row r="7" spans="1:16">
      <c r="A7" s="35" t="s">
        <v>79</v>
      </c>
      <c r="B7" s="35" t="s">
        <v>249</v>
      </c>
      <c r="D7" s="35">
        <v>316</v>
      </c>
      <c r="E7" s="35">
        <v>243</v>
      </c>
      <c r="H7" s="35">
        <v>13.7</v>
      </c>
      <c r="I7" s="37">
        <v>5.77</v>
      </c>
      <c r="J7" s="37">
        <f t="shared" si="0"/>
        <v>7.93</v>
      </c>
      <c r="K7" s="38">
        <f t="shared" si="1"/>
        <v>0.57883211678832114</v>
      </c>
      <c r="L7" s="39">
        <f t="shared" si="2"/>
        <v>15.32156368221942</v>
      </c>
      <c r="M7" s="37">
        <v>18.21</v>
      </c>
      <c r="N7" s="37">
        <v>4.51</v>
      </c>
      <c r="P7" t="s">
        <v>239</v>
      </c>
    </row>
    <row r="8" spans="1:16">
      <c r="A8" s="35" t="s">
        <v>84</v>
      </c>
      <c r="D8" s="41">
        <v>239.33333333333334</v>
      </c>
      <c r="E8" s="35">
        <v>213</v>
      </c>
      <c r="H8" s="37">
        <v>5.44</v>
      </c>
      <c r="I8" s="37">
        <v>2.6333333333333333</v>
      </c>
      <c r="J8" s="35">
        <v>2.7999999999999994</v>
      </c>
      <c r="M8" s="37">
        <v>3.7966666666666669</v>
      </c>
      <c r="N8" s="35">
        <v>3.3000000000000003</v>
      </c>
      <c r="P8" s="35" t="s">
        <v>204</v>
      </c>
    </row>
    <row r="9" spans="1:16">
      <c r="A9" s="30" t="s">
        <v>84</v>
      </c>
      <c r="B9" s="30" t="s">
        <v>248</v>
      </c>
      <c r="E9" s="35">
        <v>160</v>
      </c>
      <c r="H9" s="31">
        <v>9.5</v>
      </c>
      <c r="I9" s="31">
        <v>1.9</v>
      </c>
      <c r="J9" s="37">
        <f t="shared" ref="J9" si="3">H9-I9</f>
        <v>7.6</v>
      </c>
      <c r="K9" s="38">
        <f t="shared" ref="K9" si="4">J9/H9</f>
        <v>0.79999999999999993</v>
      </c>
      <c r="L9" s="39">
        <f t="shared" ref="L9" si="5">E9*0.5/J9</f>
        <v>10.526315789473685</v>
      </c>
      <c r="M9" s="31">
        <v>18.399999999999999</v>
      </c>
      <c r="N9" s="31">
        <v>5.9</v>
      </c>
    </row>
    <row r="10" spans="1:16" customFormat="1">
      <c r="A10" t="s">
        <v>84</v>
      </c>
      <c r="B10" s="50" t="s">
        <v>269</v>
      </c>
      <c r="C10" s="8"/>
      <c r="D10" s="89">
        <v>180</v>
      </c>
      <c r="E10" s="90"/>
      <c r="F10" s="85"/>
      <c r="H10" s="90">
        <v>9</v>
      </c>
      <c r="I10" s="86"/>
      <c r="J10" s="75"/>
      <c r="K10" s="11"/>
      <c r="L10" s="12"/>
      <c r="M10" s="75">
        <v>5.3</v>
      </c>
      <c r="N10" s="75">
        <v>7.2</v>
      </c>
      <c r="O10" s="5"/>
      <c r="P10" t="s">
        <v>233</v>
      </c>
    </row>
    <row r="11" spans="1:16" customFormat="1">
      <c r="A11" t="s">
        <v>84</v>
      </c>
      <c r="B11" s="30" t="s">
        <v>248</v>
      </c>
      <c r="C11" s="8"/>
      <c r="D11" s="89">
        <v>270</v>
      </c>
      <c r="E11" s="90"/>
      <c r="F11" s="85"/>
      <c r="H11" s="90">
        <v>9.6</v>
      </c>
      <c r="I11" s="86"/>
      <c r="J11" s="75"/>
      <c r="K11" s="11"/>
      <c r="L11" s="12"/>
      <c r="M11" s="75">
        <v>19.600000000000001</v>
      </c>
      <c r="N11" s="75">
        <v>7.2</v>
      </c>
      <c r="O11" s="5"/>
      <c r="P11" t="s">
        <v>233</v>
      </c>
    </row>
    <row r="12" spans="1:16" customFormat="1">
      <c r="A12" t="s">
        <v>84</v>
      </c>
      <c r="B12" s="30" t="s">
        <v>270</v>
      </c>
      <c r="C12" s="8"/>
      <c r="D12" s="89">
        <v>252</v>
      </c>
      <c r="E12" s="90"/>
      <c r="F12" s="85"/>
      <c r="H12" s="90">
        <v>10.1</v>
      </c>
      <c r="I12" s="86"/>
      <c r="J12" s="75"/>
      <c r="K12" s="11"/>
      <c r="L12" s="12"/>
      <c r="M12" s="75">
        <v>14.3</v>
      </c>
      <c r="N12" s="75">
        <v>7.2</v>
      </c>
      <c r="O12" s="5"/>
      <c r="P12" t="s">
        <v>233</v>
      </c>
    </row>
    <row r="13" spans="1:16" customFormat="1">
      <c r="A13" t="s">
        <v>84</v>
      </c>
      <c r="B13" s="30" t="s">
        <v>271</v>
      </c>
      <c r="C13" s="8"/>
      <c r="D13" s="89">
        <v>250</v>
      </c>
      <c r="E13" s="90"/>
      <c r="F13" s="85"/>
      <c r="H13" s="90">
        <v>11</v>
      </c>
      <c r="I13" s="86"/>
      <c r="J13" s="75"/>
      <c r="K13" s="11"/>
      <c r="L13" s="12"/>
      <c r="M13" s="75">
        <v>6.9</v>
      </c>
      <c r="N13" s="75">
        <v>8.1</v>
      </c>
      <c r="O13" s="5"/>
      <c r="P13" t="s">
        <v>233</v>
      </c>
    </row>
    <row r="14" spans="1:16" customFormat="1">
      <c r="A14" t="s">
        <v>84</v>
      </c>
      <c r="B14" s="30" t="s">
        <v>272</v>
      </c>
      <c r="C14" s="8"/>
      <c r="D14" s="89">
        <v>314</v>
      </c>
      <c r="E14" s="90"/>
      <c r="F14" s="85"/>
      <c r="H14" s="90">
        <v>12.8</v>
      </c>
      <c r="I14" s="86"/>
      <c r="J14" s="75"/>
      <c r="K14" s="11"/>
      <c r="L14" s="12"/>
      <c r="M14" s="75">
        <v>13.4</v>
      </c>
      <c r="N14" s="75">
        <v>5</v>
      </c>
      <c r="O14" s="5"/>
      <c r="P14" t="s">
        <v>233</v>
      </c>
    </row>
    <row r="15" spans="1:16" customFormat="1">
      <c r="A15" t="s">
        <v>276</v>
      </c>
      <c r="B15" s="30" t="s">
        <v>273</v>
      </c>
      <c r="C15" s="8"/>
      <c r="D15" s="89">
        <v>132</v>
      </c>
      <c r="E15" s="90"/>
      <c r="F15" s="85"/>
      <c r="H15" s="90">
        <v>6.7</v>
      </c>
      <c r="I15" s="86"/>
      <c r="J15" s="75"/>
      <c r="K15" s="11"/>
      <c r="L15" s="12"/>
      <c r="M15" s="75">
        <v>6.6</v>
      </c>
      <c r="N15" s="75">
        <v>4.3</v>
      </c>
      <c r="O15" s="5"/>
      <c r="P15" t="s">
        <v>233</v>
      </c>
    </row>
    <row r="16" spans="1:16">
      <c r="A16" s="30"/>
      <c r="B16" s="30"/>
      <c r="H16" s="31"/>
      <c r="I16" s="31"/>
      <c r="J16" s="37"/>
      <c r="K16" s="38"/>
      <c r="L16" s="39"/>
      <c r="M16" s="31"/>
      <c r="N16" s="31"/>
    </row>
    <row r="17" spans="1:16">
      <c r="A17" s="40" t="s">
        <v>361</v>
      </c>
      <c r="B17" s="40"/>
      <c r="D17" s="41">
        <f>AVERAGE(D3:D9)</f>
        <v>259.38888888888886</v>
      </c>
      <c r="E17" s="41">
        <f>AVERAGE(E3:E9)</f>
        <v>194.71428571428572</v>
      </c>
      <c r="H17" s="37">
        <f>AVERAGE(H3:H9)</f>
        <v>10.54142857142857</v>
      </c>
      <c r="I17" s="37">
        <f>AVERAGE(I3:I9)</f>
        <v>4.1433333333333326</v>
      </c>
      <c r="J17" s="37">
        <f>AVERAGE(J3:J9)</f>
        <v>6.3971428571428577</v>
      </c>
      <c r="K17" s="38">
        <f t="shared" si="1"/>
        <v>0.60685729773682084</v>
      </c>
      <c r="L17" s="39">
        <f t="shared" si="2"/>
        <v>15.218847699866011</v>
      </c>
      <c r="M17" s="37">
        <f>AVERAGE(M3:M9)</f>
        <v>14.062380952380952</v>
      </c>
      <c r="N17" s="37">
        <f>AVERAGE(N3:N9)</f>
        <v>4.3100000000000005</v>
      </c>
    </row>
    <row r="18" spans="1:16">
      <c r="A18" s="40" t="s">
        <v>362</v>
      </c>
      <c r="B18" s="40"/>
      <c r="D18" s="41">
        <f>AVERAGE(D3:D15)</f>
        <v>246.19444444444443</v>
      </c>
      <c r="E18" s="41">
        <f>E17*D18/D17</f>
        <v>184.80967169476489</v>
      </c>
      <c r="H18" s="37">
        <f>AVERAGE(H3:H15)</f>
        <v>10.229999999999999</v>
      </c>
      <c r="I18" s="37">
        <f>I17*H18/H17</f>
        <v>4.0209255996747517</v>
      </c>
      <c r="J18" s="37">
        <f>H18-I18</f>
        <v>6.2090744003252469</v>
      </c>
      <c r="K18" s="38">
        <f t="shared" si="1"/>
        <v>0.6069476442155668</v>
      </c>
      <c r="L18" s="39">
        <f t="shared" si="2"/>
        <v>14.882223966029791</v>
      </c>
      <c r="M18" s="37">
        <f>AVERAGE(M3:M15)</f>
        <v>12.656666666666668</v>
      </c>
      <c r="N18" s="37">
        <f>AVERAGE(N3:N15)</f>
        <v>5.3207692307692307</v>
      </c>
    </row>
    <row r="19" spans="1:16">
      <c r="A19" s="40" t="s">
        <v>177</v>
      </c>
      <c r="B19" s="40"/>
      <c r="D19" s="41">
        <f>_xlfn.STDEV.S(D3:D15)</f>
        <v>55.802403614524295</v>
      </c>
      <c r="E19" s="41">
        <f>_xlfn.STDEV.S(E3:E9)*E18/E17</f>
        <v>38.00370091604487</v>
      </c>
      <c r="H19" s="37">
        <f>_xlfn.STDEV.S(H3:H15)</f>
        <v>2.4440130932546285</v>
      </c>
      <c r="I19" s="37">
        <f>_xlfn.STDEV.S(I3:I9)*I18/I17</f>
        <v>1.4799420505030083</v>
      </c>
      <c r="J19" s="37">
        <f>_xlfn.STDEV.S(J3:J9)*J18/J17</f>
        <v>1.7375361918170331</v>
      </c>
      <c r="K19" s="38">
        <f>_xlfn.STDEV.S(K3:K9)*K18/K17</f>
        <v>8.8975724322745059E-2</v>
      </c>
      <c r="L19" s="37">
        <f>_xlfn.STDEV.S(L3:L9)*L18/L17</f>
        <v>2.0672935854248138</v>
      </c>
      <c r="M19" s="37">
        <f>_xlfn.STDEV.S(M3:M15)</f>
        <v>5.3589763740641496</v>
      </c>
      <c r="N19" s="37">
        <f>_xlfn.STDEV.S(N3:N15)</f>
        <v>1.6191019194729606</v>
      </c>
    </row>
    <row r="20" spans="1:16">
      <c r="A20" s="40"/>
      <c r="B20" s="40"/>
      <c r="D20" s="41"/>
      <c r="E20" s="41"/>
      <c r="H20" s="37"/>
      <c r="I20" s="37"/>
      <c r="J20" s="37"/>
      <c r="K20" s="38"/>
      <c r="L20" s="39"/>
      <c r="M20" s="37"/>
      <c r="N20" s="37"/>
    </row>
    <row r="21" spans="1:16">
      <c r="A21" s="40"/>
      <c r="B21" s="40"/>
      <c r="D21" s="41"/>
      <c r="E21" s="41"/>
      <c r="H21" s="37"/>
      <c r="I21" s="37"/>
      <c r="J21" s="37"/>
      <c r="K21" s="38"/>
      <c r="L21" s="39"/>
      <c r="M21" s="37"/>
      <c r="N21" s="37"/>
    </row>
    <row r="22" spans="1:16">
      <c r="A22" s="47" t="s">
        <v>87</v>
      </c>
      <c r="B22" s="40"/>
      <c r="D22" s="41"/>
      <c r="E22" s="41"/>
      <c r="H22" s="37"/>
      <c r="I22" s="37"/>
      <c r="J22" s="37"/>
      <c r="K22" s="38"/>
      <c r="L22" s="39"/>
      <c r="M22" s="37"/>
      <c r="N22" s="37"/>
    </row>
    <row r="23" spans="1:16" customFormat="1">
      <c r="A23" t="s">
        <v>87</v>
      </c>
      <c r="B23" s="30" t="s">
        <v>248</v>
      </c>
      <c r="C23" s="8"/>
      <c r="D23" s="89">
        <v>183</v>
      </c>
      <c r="E23" s="90"/>
      <c r="F23" s="85"/>
      <c r="G23" s="84"/>
      <c r="H23" s="86">
        <v>4.9000000000000004</v>
      </c>
      <c r="I23" s="86"/>
      <c r="J23" s="75"/>
      <c r="K23" s="11"/>
      <c r="L23" s="12"/>
      <c r="M23" s="75">
        <v>3.4</v>
      </c>
      <c r="N23" s="7">
        <v>7</v>
      </c>
      <c r="O23" s="5"/>
      <c r="P23" t="s">
        <v>233</v>
      </c>
    </row>
    <row r="24" spans="1:16" customFormat="1">
      <c r="A24" t="s">
        <v>87</v>
      </c>
      <c r="B24" s="30" t="s">
        <v>271</v>
      </c>
      <c r="C24" s="8"/>
      <c r="D24" s="89">
        <v>149</v>
      </c>
      <c r="E24" s="90"/>
      <c r="F24" s="85"/>
      <c r="G24" s="84"/>
      <c r="H24" s="86">
        <v>4.8</v>
      </c>
      <c r="I24" s="86"/>
      <c r="J24" s="75"/>
      <c r="K24" s="11"/>
      <c r="L24" s="12"/>
      <c r="M24" s="75">
        <v>2.4</v>
      </c>
      <c r="N24" s="7">
        <v>3.1</v>
      </c>
      <c r="O24" s="5"/>
      <c r="P24" t="s">
        <v>233</v>
      </c>
    </row>
    <row r="25" spans="1:16" customFormat="1">
      <c r="A25" t="s">
        <v>87</v>
      </c>
      <c r="B25" s="30" t="s">
        <v>360</v>
      </c>
      <c r="C25" s="8"/>
      <c r="D25" s="89">
        <v>221</v>
      </c>
      <c r="E25" s="89">
        <v>197</v>
      </c>
      <c r="F25" s="85"/>
      <c r="G25" s="84"/>
      <c r="H25" s="86">
        <v>3.96</v>
      </c>
      <c r="I25" s="90">
        <v>1.4</v>
      </c>
      <c r="J25" s="37">
        <f t="shared" ref="J25:J26" si="6">H25-I25</f>
        <v>2.56</v>
      </c>
      <c r="K25" s="38">
        <f t="shared" ref="K25:K26" si="7">J25/H25</f>
        <v>0.64646464646464652</v>
      </c>
      <c r="L25" s="39">
        <f t="shared" ref="L25:L26" si="8">E25*0.5/J25</f>
        <v>38.4765625</v>
      </c>
      <c r="M25" s="75">
        <v>1.59</v>
      </c>
      <c r="N25" s="7">
        <v>5.0999999999999996</v>
      </c>
      <c r="O25" s="5"/>
      <c r="P25" s="35" t="s">
        <v>359</v>
      </c>
    </row>
    <row r="26" spans="1:16" customFormat="1">
      <c r="A26" t="s">
        <v>87</v>
      </c>
      <c r="B26" s="30" t="s">
        <v>250</v>
      </c>
      <c r="C26" s="8"/>
      <c r="D26" s="89">
        <v>201</v>
      </c>
      <c r="E26" s="89">
        <v>163</v>
      </c>
      <c r="F26" s="85"/>
      <c r="G26" s="84"/>
      <c r="H26" s="86">
        <v>4.09</v>
      </c>
      <c r="I26" s="90">
        <v>1.6</v>
      </c>
      <c r="J26" s="37">
        <f t="shared" si="6"/>
        <v>2.4899999999999998</v>
      </c>
      <c r="K26" s="38">
        <f t="shared" si="7"/>
        <v>0.60880195599022002</v>
      </c>
      <c r="L26" s="39">
        <f t="shared" si="8"/>
        <v>32.730923694779122</v>
      </c>
      <c r="M26" s="75">
        <v>1.6</v>
      </c>
      <c r="N26" s="7">
        <v>4.5999999999999996</v>
      </c>
      <c r="O26" s="5"/>
      <c r="P26" s="35" t="s">
        <v>359</v>
      </c>
    </row>
    <row r="27" spans="1:16" customFormat="1">
      <c r="B27" s="30"/>
      <c r="C27" s="8"/>
      <c r="D27" s="89"/>
      <c r="E27" s="90"/>
      <c r="F27" s="85"/>
      <c r="G27" s="84"/>
      <c r="H27" s="86"/>
      <c r="I27" s="86"/>
      <c r="J27" s="75"/>
      <c r="K27" s="11"/>
      <c r="L27" s="12"/>
      <c r="M27" s="75"/>
      <c r="N27" s="75"/>
      <c r="O27" s="5"/>
    </row>
    <row r="28" spans="1:16" customFormat="1">
      <c r="A28" s="40" t="s">
        <v>363</v>
      </c>
      <c r="C28" s="8"/>
      <c r="D28" s="89"/>
      <c r="E28" s="90"/>
      <c r="F28" s="85"/>
      <c r="G28" s="84"/>
      <c r="H28" s="86"/>
      <c r="I28" s="86"/>
      <c r="J28" s="75"/>
      <c r="K28" s="11"/>
      <c r="L28" s="12"/>
      <c r="M28" s="75"/>
      <c r="N28" s="75"/>
      <c r="O28" s="5"/>
    </row>
    <row r="29" spans="1:16" customFormat="1">
      <c r="A29" s="40"/>
      <c r="C29" s="8"/>
      <c r="D29" s="89"/>
      <c r="E29" s="90"/>
      <c r="F29" s="85"/>
      <c r="G29" s="84"/>
      <c r="H29" s="86"/>
      <c r="I29" s="86"/>
      <c r="J29" s="75"/>
      <c r="K29" s="11"/>
      <c r="L29" s="12"/>
      <c r="M29" s="75"/>
      <c r="N29" s="75"/>
      <c r="O29" s="5"/>
    </row>
    <row r="30" spans="1:16">
      <c r="A30" s="40"/>
      <c r="B30" s="40"/>
      <c r="D30" s="41"/>
      <c r="E30" s="41"/>
      <c r="H30" s="37"/>
      <c r="I30" s="37"/>
      <c r="J30" s="37"/>
      <c r="K30" s="38"/>
      <c r="L30" s="39"/>
      <c r="M30" s="37"/>
      <c r="N30" s="37"/>
    </row>
    <row r="31" spans="1:16">
      <c r="A31" s="47" t="s">
        <v>251</v>
      </c>
      <c r="B31" s="40"/>
      <c r="D31" s="41"/>
      <c r="E31" s="41"/>
      <c r="H31" s="37"/>
      <c r="I31" s="37"/>
      <c r="J31" s="37"/>
      <c r="K31" s="38"/>
      <c r="L31" s="39"/>
      <c r="M31" s="37"/>
      <c r="N31" s="37"/>
    </row>
    <row r="32" spans="1:16">
      <c r="A32" s="35" t="s">
        <v>252</v>
      </c>
      <c r="B32" s="35" t="s">
        <v>248</v>
      </c>
      <c r="D32" s="35">
        <v>290</v>
      </c>
      <c r="E32" s="35">
        <v>220</v>
      </c>
      <c r="H32" s="35">
        <v>11.2</v>
      </c>
      <c r="I32" s="37">
        <v>5.95</v>
      </c>
      <c r="J32" s="37">
        <f>H32-I32</f>
        <v>5.2499999999999991</v>
      </c>
      <c r="K32" s="38">
        <f>J32/H32</f>
        <v>0.46874999999999994</v>
      </c>
      <c r="L32" s="39">
        <f>E32*0.5/J32</f>
        <v>20.952380952380956</v>
      </c>
      <c r="M32" s="37">
        <v>17.27</v>
      </c>
      <c r="N32" s="37">
        <v>5.09</v>
      </c>
      <c r="P32" t="s">
        <v>239</v>
      </c>
    </row>
    <row r="33" spans="1:16">
      <c r="I33" s="37"/>
      <c r="J33" s="37"/>
      <c r="K33" s="38"/>
      <c r="L33" s="39"/>
      <c r="M33" s="37"/>
      <c r="N33" s="37"/>
    </row>
    <row r="34" spans="1:16">
      <c r="A34" s="47" t="s">
        <v>86</v>
      </c>
      <c r="B34" s="47"/>
      <c r="I34" s="37"/>
      <c r="J34" s="37"/>
      <c r="K34" s="38"/>
      <c r="L34" s="39"/>
      <c r="M34" s="37"/>
      <c r="N34" s="37"/>
    </row>
    <row r="35" spans="1:16">
      <c r="A35" s="42" t="s">
        <v>213</v>
      </c>
      <c r="B35" s="35" t="s">
        <v>248</v>
      </c>
      <c r="D35" s="35">
        <v>260</v>
      </c>
      <c r="E35" s="35">
        <v>193</v>
      </c>
      <c r="H35" s="35">
        <v>10.4</v>
      </c>
      <c r="I35" s="37">
        <v>3.68</v>
      </c>
      <c r="J35" s="37">
        <f t="shared" si="0"/>
        <v>6.7200000000000006</v>
      </c>
      <c r="K35" s="38">
        <f t="shared" si="1"/>
        <v>0.64615384615384619</v>
      </c>
      <c r="L35" s="39">
        <f t="shared" si="2"/>
        <v>14.360119047619046</v>
      </c>
      <c r="M35" s="37">
        <v>10.76</v>
      </c>
      <c r="N35" s="37">
        <v>5.41</v>
      </c>
      <c r="P35" t="s">
        <v>239</v>
      </c>
    </row>
    <row r="36" spans="1:16">
      <c r="A36" s="42" t="s">
        <v>86</v>
      </c>
      <c r="B36" s="42"/>
      <c r="D36" s="41">
        <v>231.75</v>
      </c>
      <c r="E36" s="41">
        <v>163</v>
      </c>
      <c r="H36" s="37">
        <v>6.1875</v>
      </c>
      <c r="I36" s="37">
        <v>2.5</v>
      </c>
      <c r="J36" s="37">
        <v>3.6999999999999997</v>
      </c>
      <c r="K36" s="38">
        <f t="shared" ref="K36:K37" si="9">J36/H36</f>
        <v>0.59797979797979794</v>
      </c>
      <c r="L36" s="39">
        <f t="shared" ref="L36:L37" si="10">E36*0.5/J36</f>
        <v>22.027027027027028</v>
      </c>
      <c r="M36" s="37">
        <v>6.9049999999999994</v>
      </c>
      <c r="N36" s="37">
        <v>5.0750000000000002</v>
      </c>
      <c r="P36" s="35" t="s">
        <v>197</v>
      </c>
    </row>
    <row r="37" spans="1:16">
      <c r="A37" s="42" t="s">
        <v>86</v>
      </c>
      <c r="B37" s="42"/>
      <c r="D37" s="41">
        <v>271.8</v>
      </c>
      <c r="E37" s="41">
        <v>184.2</v>
      </c>
      <c r="H37" s="37">
        <v>8.2439999999999998</v>
      </c>
      <c r="I37" s="37">
        <v>3.12</v>
      </c>
      <c r="J37" s="37">
        <v>5.12</v>
      </c>
      <c r="K37" s="38">
        <f t="shared" si="9"/>
        <v>0.62105773896166916</v>
      </c>
      <c r="L37" s="39">
        <f t="shared" si="10"/>
        <v>17.98828125</v>
      </c>
      <c r="M37" s="37">
        <v>6.92</v>
      </c>
      <c r="N37" s="37">
        <v>4.9399999999999995</v>
      </c>
      <c r="P37" s="35" t="s">
        <v>201</v>
      </c>
    </row>
    <row r="39" spans="1:16">
      <c r="A39" s="40" t="s">
        <v>214</v>
      </c>
      <c r="B39" s="40"/>
      <c r="D39" s="41">
        <f>(D35+(D36+D37)/2)/2</f>
        <v>255.88749999999999</v>
      </c>
      <c r="E39" s="41">
        <f>(E35+(E36+E37)/2)/2</f>
        <v>183.3</v>
      </c>
      <c r="H39" s="37">
        <f>(H35+(H36+H37)/2)/2</f>
        <v>8.8078749999999992</v>
      </c>
      <c r="I39" s="37">
        <f>(I35+(I36+I37)/2)/2</f>
        <v>3.2450000000000001</v>
      </c>
      <c r="J39" s="37">
        <f>(J35+(J36+J37)/2)/2</f>
        <v>5.5650000000000004</v>
      </c>
      <c r="K39" s="38">
        <f t="shared" ref="K39" si="11">J39/H39</f>
        <v>0.63182095567886698</v>
      </c>
      <c r="L39" s="39">
        <f t="shared" ref="L39" si="12">E39*0.5/J39</f>
        <v>16.469002695417789</v>
      </c>
      <c r="M39" s="37">
        <f>(M35+(M36+M37)/2)/2</f>
        <v>8.8362499999999997</v>
      </c>
      <c r="N39" s="37">
        <f>(N35+(N36+N37)/2)/2</f>
        <v>5.2087500000000002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5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30.28515625" bestFit="1" customWidth="1"/>
    <col min="4" max="4" width="9.85546875" customWidth="1"/>
    <col min="5" max="6" width="10.28515625" customWidth="1"/>
    <col min="11" max="11" width="7.42578125" customWidth="1"/>
    <col min="12" max="12" width="7.7109375" customWidth="1"/>
    <col min="13" max="13" width="8" customWidth="1"/>
    <col min="14" max="14" width="3.7109375" customWidth="1"/>
    <col min="15" max="15" width="8.85546875" style="35"/>
  </cols>
  <sheetData>
    <row r="1" spans="1:15" ht="62.25">
      <c r="A1" s="1" t="s">
        <v>0</v>
      </c>
      <c r="B1" s="2" t="s">
        <v>37</v>
      </c>
      <c r="C1" s="2" t="s">
        <v>1</v>
      </c>
      <c r="D1" s="2" t="s">
        <v>2</v>
      </c>
      <c r="E1" s="2" t="s">
        <v>8</v>
      </c>
      <c r="F1" s="2" t="s">
        <v>9</v>
      </c>
      <c r="G1" s="2" t="s">
        <v>3</v>
      </c>
      <c r="H1" s="2" t="s">
        <v>4</v>
      </c>
      <c r="I1" s="2" t="s">
        <v>5</v>
      </c>
      <c r="J1" s="2" t="s">
        <v>12</v>
      </c>
      <c r="K1" s="2" t="s">
        <v>40</v>
      </c>
      <c r="L1" s="2" t="s">
        <v>6</v>
      </c>
      <c r="M1" s="2" t="s">
        <v>7</v>
      </c>
      <c r="O1" s="17" t="s">
        <v>65</v>
      </c>
    </row>
    <row r="2" spans="1:15">
      <c r="A2" s="22" t="s">
        <v>155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5"/>
    </row>
    <row r="3" spans="1:15">
      <c r="A3" s="27" t="s">
        <v>341</v>
      </c>
      <c r="B3" s="23"/>
      <c r="C3" s="23">
        <v>120</v>
      </c>
      <c r="D3" s="23">
        <v>94</v>
      </c>
      <c r="E3" s="23"/>
      <c r="F3" s="23"/>
      <c r="G3" s="29">
        <v>5.0999999999999996</v>
      </c>
      <c r="H3" s="29">
        <v>1.9</v>
      </c>
      <c r="I3" s="29">
        <v>3.1</v>
      </c>
      <c r="J3" s="58">
        <f>I3/G3</f>
        <v>0.60784313725490202</v>
      </c>
      <c r="K3" s="29">
        <f>D3*0.5/I3</f>
        <v>15.161290322580644</v>
      </c>
      <c r="L3" s="23">
        <v>1.7</v>
      </c>
      <c r="M3" s="29">
        <v>7</v>
      </c>
      <c r="N3" s="24"/>
      <c r="O3" s="108" t="s">
        <v>335</v>
      </c>
    </row>
    <row r="4" spans="1:15">
      <c r="A4" s="27" t="s">
        <v>341</v>
      </c>
      <c r="B4" s="23"/>
      <c r="C4" s="23">
        <v>55</v>
      </c>
      <c r="D4" s="23">
        <v>40</v>
      </c>
      <c r="E4" s="23"/>
      <c r="F4" s="23"/>
      <c r="G4" s="29">
        <v>2.7</v>
      </c>
      <c r="H4" s="29">
        <v>1.3</v>
      </c>
      <c r="I4" s="29">
        <v>1.4</v>
      </c>
      <c r="J4" s="58">
        <f t="shared" ref="J4:J16" si="0">I4/G4</f>
        <v>0.51851851851851849</v>
      </c>
      <c r="K4" s="29">
        <f t="shared" ref="K4:K16" si="1">D4*0.5/I4</f>
        <v>14.285714285714286</v>
      </c>
      <c r="L4" s="29">
        <v>1.1000000000000001</v>
      </c>
      <c r="M4" s="29">
        <v>4.8</v>
      </c>
      <c r="N4" s="24"/>
      <c r="O4" s="108" t="s">
        <v>335</v>
      </c>
    </row>
    <row r="5" spans="1:15">
      <c r="A5" s="27" t="s">
        <v>341</v>
      </c>
      <c r="B5" s="23"/>
      <c r="C5" s="23">
        <v>22</v>
      </c>
      <c r="D5" s="23">
        <v>12</v>
      </c>
      <c r="E5" s="23"/>
      <c r="F5" s="23"/>
      <c r="G5" s="29">
        <v>1.9</v>
      </c>
      <c r="H5" s="29">
        <v>1.1000000000000001</v>
      </c>
      <c r="I5" s="29">
        <v>0.9</v>
      </c>
      <c r="J5" s="58">
        <f t="shared" si="0"/>
        <v>0.47368421052631582</v>
      </c>
      <c r="K5" s="29">
        <f t="shared" si="1"/>
        <v>6.6666666666666661</v>
      </c>
      <c r="L5" s="29">
        <v>0.3</v>
      </c>
      <c r="M5" s="29">
        <v>4.8</v>
      </c>
      <c r="N5" s="24"/>
      <c r="O5" s="108" t="s">
        <v>335</v>
      </c>
    </row>
    <row r="6" spans="1:15">
      <c r="A6" s="27" t="s">
        <v>341</v>
      </c>
      <c r="B6" s="23"/>
      <c r="C6" s="23">
        <v>107</v>
      </c>
      <c r="D6" s="23">
        <v>78</v>
      </c>
      <c r="E6" s="23"/>
      <c r="F6" s="23"/>
      <c r="G6" s="29">
        <v>4.5999999999999996</v>
      </c>
      <c r="H6" s="29">
        <v>1.8</v>
      </c>
      <c r="I6" s="29">
        <v>2.8</v>
      </c>
      <c r="J6" s="58">
        <f t="shared" si="0"/>
        <v>0.60869565217391308</v>
      </c>
      <c r="K6" s="29">
        <f t="shared" si="1"/>
        <v>13.928571428571429</v>
      </c>
      <c r="L6" s="29">
        <v>1.9</v>
      </c>
      <c r="M6" s="29">
        <v>6.4</v>
      </c>
      <c r="N6" s="24"/>
      <c r="O6" s="108" t="s">
        <v>335</v>
      </c>
    </row>
    <row r="7" spans="1:15">
      <c r="A7" s="27" t="s">
        <v>341</v>
      </c>
      <c r="B7" s="23"/>
      <c r="C7" s="23">
        <v>66</v>
      </c>
      <c r="D7" s="23">
        <v>51</v>
      </c>
      <c r="E7" s="23"/>
      <c r="F7" s="23"/>
      <c r="G7" s="29">
        <v>3.3</v>
      </c>
      <c r="H7" s="29">
        <v>1.6</v>
      </c>
      <c r="I7" s="29">
        <v>1.7</v>
      </c>
      <c r="J7" s="58">
        <f t="shared" si="0"/>
        <v>0.51515151515151514</v>
      </c>
      <c r="K7" s="29">
        <f t="shared" si="1"/>
        <v>15</v>
      </c>
      <c r="L7" s="29">
        <v>1</v>
      </c>
      <c r="M7" s="29">
        <v>5.7</v>
      </c>
      <c r="N7" s="24"/>
      <c r="O7" s="108" t="s">
        <v>335</v>
      </c>
    </row>
    <row r="8" spans="1:15">
      <c r="A8" s="27" t="s">
        <v>341</v>
      </c>
      <c r="B8" s="23"/>
      <c r="C8" s="23">
        <v>69</v>
      </c>
      <c r="D8" s="23">
        <v>53</v>
      </c>
      <c r="E8" s="23"/>
      <c r="F8" s="23"/>
      <c r="G8" s="29">
        <v>3.3</v>
      </c>
      <c r="H8" s="29">
        <v>1.6</v>
      </c>
      <c r="I8" s="29">
        <v>1.7</v>
      </c>
      <c r="J8" s="58">
        <f t="shared" si="0"/>
        <v>0.51515151515151514</v>
      </c>
      <c r="K8" s="29">
        <f t="shared" si="1"/>
        <v>15.588235294117647</v>
      </c>
      <c r="L8" s="29">
        <v>1.1000000000000001</v>
      </c>
      <c r="M8" s="29">
        <v>5.7</v>
      </c>
      <c r="N8" s="24"/>
      <c r="O8" s="108" t="s">
        <v>335</v>
      </c>
    </row>
    <row r="9" spans="1:15">
      <c r="A9" s="27" t="s">
        <v>341</v>
      </c>
      <c r="B9" s="23"/>
      <c r="C9" s="23">
        <v>98</v>
      </c>
      <c r="D9" s="23">
        <v>79</v>
      </c>
      <c r="E9" s="23"/>
      <c r="F9" s="23"/>
      <c r="G9" s="29">
        <v>3.3</v>
      </c>
      <c r="H9" s="29">
        <v>1.3</v>
      </c>
      <c r="I9" s="29">
        <v>2</v>
      </c>
      <c r="J9" s="58">
        <f t="shared" si="0"/>
        <v>0.60606060606060608</v>
      </c>
      <c r="K9" s="29">
        <f t="shared" si="1"/>
        <v>19.75</v>
      </c>
      <c r="L9" s="29">
        <v>1.1000000000000001</v>
      </c>
      <c r="M9" s="29">
        <v>5.9</v>
      </c>
      <c r="N9" s="24"/>
      <c r="O9" s="108" t="s">
        <v>335</v>
      </c>
    </row>
    <row r="10" spans="1:15">
      <c r="A10" s="27" t="s">
        <v>341</v>
      </c>
      <c r="B10" s="23"/>
      <c r="C10" s="23">
        <v>87</v>
      </c>
      <c r="D10" s="23">
        <v>68</v>
      </c>
      <c r="E10" s="23"/>
      <c r="F10" s="23"/>
      <c r="G10" s="29">
        <v>4.2</v>
      </c>
      <c r="H10" s="29">
        <v>1.8</v>
      </c>
      <c r="I10" s="29">
        <v>2.4</v>
      </c>
      <c r="J10" s="58">
        <f t="shared" si="0"/>
        <v>0.5714285714285714</v>
      </c>
      <c r="K10" s="29">
        <f t="shared" si="1"/>
        <v>14.166666666666668</v>
      </c>
      <c r="L10" s="29">
        <v>1.6</v>
      </c>
      <c r="M10" s="29">
        <v>5.4</v>
      </c>
      <c r="N10" s="24"/>
      <c r="O10" s="108" t="s">
        <v>335</v>
      </c>
    </row>
    <row r="11" spans="1:15">
      <c r="A11" s="27" t="s">
        <v>341</v>
      </c>
      <c r="B11" s="23"/>
      <c r="C11" s="23">
        <v>86</v>
      </c>
      <c r="D11" s="23">
        <v>67</v>
      </c>
      <c r="E11" s="23"/>
      <c r="F11" s="23"/>
      <c r="G11" s="29">
        <v>4.2</v>
      </c>
      <c r="H11" s="29">
        <v>1.8</v>
      </c>
      <c r="I11" s="29">
        <v>2.4</v>
      </c>
      <c r="J11" s="58">
        <f t="shared" si="0"/>
        <v>0.5714285714285714</v>
      </c>
      <c r="K11" s="29">
        <f t="shared" si="1"/>
        <v>13.958333333333334</v>
      </c>
      <c r="L11" s="29">
        <v>1.5</v>
      </c>
      <c r="M11" s="29">
        <v>5.0999999999999996</v>
      </c>
      <c r="N11" s="24"/>
      <c r="O11" s="108" t="s">
        <v>335</v>
      </c>
    </row>
    <row r="12" spans="1:15">
      <c r="A12" s="27" t="s">
        <v>341</v>
      </c>
      <c r="B12" s="23"/>
      <c r="C12" s="23">
        <v>98</v>
      </c>
      <c r="D12" s="23">
        <v>73</v>
      </c>
      <c r="E12" s="23"/>
      <c r="F12" s="23"/>
      <c r="G12" s="29">
        <v>5.7</v>
      </c>
      <c r="H12" s="29">
        <v>2.5</v>
      </c>
      <c r="I12" s="29">
        <v>3.2</v>
      </c>
      <c r="J12" s="58">
        <f t="shared" si="0"/>
        <v>0.56140350877192979</v>
      </c>
      <c r="K12" s="29">
        <f t="shared" si="1"/>
        <v>11.40625</v>
      </c>
      <c r="L12" s="29">
        <v>2.4</v>
      </c>
      <c r="M12" s="29">
        <v>7</v>
      </c>
      <c r="N12" s="24"/>
      <c r="O12" s="108" t="s">
        <v>335</v>
      </c>
    </row>
    <row r="13" spans="1:15">
      <c r="A13" s="27" t="s">
        <v>341</v>
      </c>
      <c r="B13" s="23"/>
      <c r="C13" s="23">
        <v>125</v>
      </c>
      <c r="D13" s="23">
        <v>90</v>
      </c>
      <c r="E13" s="23"/>
      <c r="F13" s="23"/>
      <c r="G13" s="29">
        <v>5.0999999999999996</v>
      </c>
      <c r="H13" s="29">
        <v>1.9</v>
      </c>
      <c r="I13" s="29">
        <v>3.2</v>
      </c>
      <c r="J13" s="58">
        <f t="shared" si="0"/>
        <v>0.62745098039215697</v>
      </c>
      <c r="K13" s="29">
        <f t="shared" si="1"/>
        <v>14.0625</v>
      </c>
      <c r="L13" s="29">
        <v>2.2999999999999998</v>
      </c>
      <c r="M13" s="29">
        <v>8.1</v>
      </c>
      <c r="N13" s="24"/>
      <c r="O13" s="108" t="s">
        <v>335</v>
      </c>
    </row>
    <row r="14" spans="1:15">
      <c r="A14" s="27" t="s">
        <v>341</v>
      </c>
      <c r="B14" s="23"/>
      <c r="C14" s="23">
        <v>100</v>
      </c>
      <c r="D14" s="23">
        <v>75</v>
      </c>
      <c r="E14" s="23"/>
      <c r="F14" s="23"/>
      <c r="G14" s="29">
        <v>4</v>
      </c>
      <c r="H14" s="29">
        <v>1.7</v>
      </c>
      <c r="I14" s="29">
        <v>2.2999999999999998</v>
      </c>
      <c r="J14" s="58">
        <f t="shared" si="0"/>
        <v>0.57499999999999996</v>
      </c>
      <c r="K14" s="29">
        <f t="shared" si="1"/>
        <v>16.304347826086957</v>
      </c>
      <c r="L14" s="29">
        <v>1.5</v>
      </c>
      <c r="M14" s="29">
        <v>6.7</v>
      </c>
      <c r="N14" s="24"/>
      <c r="O14" s="108" t="s">
        <v>335</v>
      </c>
    </row>
    <row r="15" spans="1:15">
      <c r="A15" s="27" t="s">
        <v>341</v>
      </c>
      <c r="B15" s="23"/>
      <c r="C15" s="23">
        <v>43</v>
      </c>
      <c r="D15" s="23">
        <v>29</v>
      </c>
      <c r="E15" s="23"/>
      <c r="F15" s="23"/>
      <c r="G15" s="29">
        <v>2.5299999999999998</v>
      </c>
      <c r="H15" s="29">
        <v>1.5</v>
      </c>
      <c r="I15" s="29">
        <v>1</v>
      </c>
      <c r="J15" s="58">
        <f t="shared" si="0"/>
        <v>0.39525691699604748</v>
      </c>
      <c r="K15" s="29">
        <f t="shared" si="1"/>
        <v>14.5</v>
      </c>
      <c r="L15" s="29">
        <v>0.82</v>
      </c>
      <c r="M15" s="29" t="s">
        <v>333</v>
      </c>
      <c r="N15" s="24"/>
      <c r="O15" s="108" t="s">
        <v>335</v>
      </c>
    </row>
    <row r="16" spans="1:15">
      <c r="A16" s="27" t="s">
        <v>341</v>
      </c>
      <c r="B16" s="23"/>
      <c r="C16" s="23">
        <v>98</v>
      </c>
      <c r="D16" s="23">
        <v>76</v>
      </c>
      <c r="E16" s="23"/>
      <c r="F16" s="23"/>
      <c r="G16" s="29">
        <v>4.0999999999999996</v>
      </c>
      <c r="H16" s="29">
        <v>2.4</v>
      </c>
      <c r="I16" s="29">
        <v>1.8</v>
      </c>
      <c r="J16" s="58">
        <f t="shared" si="0"/>
        <v>0.4390243902439025</v>
      </c>
      <c r="K16" s="29">
        <f t="shared" si="1"/>
        <v>21.111111111111111</v>
      </c>
      <c r="L16" s="29">
        <v>1.7</v>
      </c>
      <c r="M16" s="29">
        <v>6.8</v>
      </c>
      <c r="N16" s="24"/>
      <c r="O16" s="108" t="s">
        <v>335</v>
      </c>
    </row>
    <row r="17" spans="1:15">
      <c r="A17" s="27" t="s">
        <v>341</v>
      </c>
      <c r="B17" s="23"/>
      <c r="C17" s="23">
        <v>96</v>
      </c>
      <c r="D17" s="23">
        <v>72</v>
      </c>
      <c r="E17" s="23"/>
      <c r="F17" s="23"/>
      <c r="G17" s="29">
        <v>4.2</v>
      </c>
      <c r="H17" s="29"/>
      <c r="I17" s="29"/>
      <c r="J17" s="23"/>
      <c r="K17" s="23"/>
      <c r="L17" s="29">
        <v>1.8</v>
      </c>
      <c r="M17" s="29">
        <v>7.1</v>
      </c>
      <c r="N17" s="24"/>
      <c r="O17" s="108" t="s">
        <v>335</v>
      </c>
    </row>
    <row r="18" spans="1:15">
      <c r="A18" s="27" t="s">
        <v>341</v>
      </c>
      <c r="B18" s="23"/>
      <c r="C18" s="23">
        <v>67</v>
      </c>
      <c r="D18" s="23">
        <v>52</v>
      </c>
      <c r="E18" s="23"/>
      <c r="F18" s="23"/>
      <c r="G18" s="29">
        <v>3.2</v>
      </c>
      <c r="H18" s="29"/>
      <c r="I18" s="29"/>
      <c r="J18" s="23"/>
      <c r="K18" s="23"/>
      <c r="L18" s="29">
        <v>1.2</v>
      </c>
      <c r="M18" s="29">
        <v>5</v>
      </c>
      <c r="N18" s="24"/>
      <c r="O18" s="108" t="s">
        <v>335</v>
      </c>
    </row>
    <row r="19" spans="1:15">
      <c r="A19" s="27" t="s">
        <v>341</v>
      </c>
      <c r="B19" s="23"/>
      <c r="C19" s="23">
        <v>75</v>
      </c>
      <c r="D19" s="23">
        <v>53</v>
      </c>
      <c r="E19" s="23"/>
      <c r="F19" s="23"/>
      <c r="G19" s="29">
        <v>4</v>
      </c>
      <c r="H19" s="29"/>
      <c r="I19" s="29"/>
      <c r="J19" s="23"/>
      <c r="K19" s="23"/>
      <c r="L19" s="29">
        <v>1.6</v>
      </c>
      <c r="M19" s="29">
        <v>6.6</v>
      </c>
      <c r="N19" s="24"/>
      <c r="O19" s="108" t="s">
        <v>335</v>
      </c>
    </row>
    <row r="20" spans="1:15">
      <c r="A20" s="27" t="s">
        <v>341</v>
      </c>
      <c r="B20" s="23"/>
      <c r="C20" s="23">
        <v>85</v>
      </c>
      <c r="D20" s="23">
        <v>72</v>
      </c>
      <c r="E20" s="23"/>
      <c r="F20" s="23"/>
      <c r="G20" s="29">
        <v>3.2</v>
      </c>
      <c r="H20" s="29"/>
      <c r="I20" s="29"/>
      <c r="J20" s="23"/>
      <c r="K20" s="23"/>
      <c r="L20" s="29">
        <v>1.4</v>
      </c>
      <c r="M20" s="29">
        <v>4.4000000000000004</v>
      </c>
      <c r="N20" s="24"/>
      <c r="O20" s="108" t="s">
        <v>335</v>
      </c>
    </row>
    <row r="21" spans="1:15">
      <c r="A21" s="27" t="s">
        <v>341</v>
      </c>
      <c r="B21" s="23"/>
      <c r="C21" s="23">
        <v>84</v>
      </c>
      <c r="D21" s="23">
        <v>69</v>
      </c>
      <c r="E21" s="23"/>
      <c r="F21" s="23"/>
      <c r="G21" s="29">
        <v>3.3</v>
      </c>
      <c r="H21" s="29"/>
      <c r="I21" s="29"/>
      <c r="J21" s="23"/>
      <c r="K21" s="23"/>
      <c r="L21" s="29">
        <v>1.2</v>
      </c>
      <c r="M21" s="29">
        <v>4.7</v>
      </c>
      <c r="N21" s="24"/>
      <c r="O21" s="108" t="s">
        <v>335</v>
      </c>
    </row>
    <row r="22" spans="1:15">
      <c r="A22" s="27" t="s">
        <v>341</v>
      </c>
      <c r="B22" s="23"/>
      <c r="C22" s="23">
        <v>72</v>
      </c>
      <c r="D22" s="23">
        <v>56</v>
      </c>
      <c r="E22" s="23"/>
      <c r="F22" s="23"/>
      <c r="G22" s="29">
        <v>3.5</v>
      </c>
      <c r="H22" s="29"/>
      <c r="I22" s="29"/>
      <c r="J22" s="23"/>
      <c r="K22" s="23"/>
      <c r="L22" s="29">
        <v>1.8</v>
      </c>
      <c r="M22" s="29">
        <v>5</v>
      </c>
      <c r="N22" s="24"/>
      <c r="O22" s="108" t="s">
        <v>335</v>
      </c>
    </row>
    <row r="23" spans="1:15">
      <c r="A23" s="27" t="s">
        <v>341</v>
      </c>
      <c r="B23" s="23"/>
      <c r="C23" s="23">
        <v>72</v>
      </c>
      <c r="D23" s="23">
        <v>50</v>
      </c>
      <c r="E23" s="23"/>
      <c r="F23" s="23"/>
      <c r="G23" s="29">
        <v>3.3</v>
      </c>
      <c r="H23" s="29"/>
      <c r="I23" s="29"/>
      <c r="J23" s="23"/>
      <c r="K23" s="23"/>
      <c r="L23" s="29">
        <v>1.4</v>
      </c>
      <c r="M23" s="29">
        <v>5.3</v>
      </c>
      <c r="N23" s="24"/>
      <c r="O23" s="108" t="s">
        <v>335</v>
      </c>
    </row>
    <row r="24" spans="1:15">
      <c r="A24" s="27" t="s">
        <v>341</v>
      </c>
      <c r="B24" s="23"/>
      <c r="C24" s="23">
        <v>115</v>
      </c>
      <c r="D24" s="23">
        <v>84</v>
      </c>
      <c r="E24" s="23"/>
      <c r="F24" s="23"/>
      <c r="G24" s="29">
        <v>4.0999999999999996</v>
      </c>
      <c r="H24" s="29"/>
      <c r="I24" s="29"/>
      <c r="J24" s="23"/>
      <c r="K24" s="23"/>
      <c r="L24" s="29">
        <v>2</v>
      </c>
      <c r="M24" s="29">
        <v>4.7</v>
      </c>
      <c r="N24" s="24"/>
      <c r="O24" s="108" t="s">
        <v>335</v>
      </c>
    </row>
    <row r="25" spans="1:15">
      <c r="A25" s="27" t="s">
        <v>341</v>
      </c>
      <c r="B25" s="23"/>
      <c r="C25" s="23">
        <v>85</v>
      </c>
      <c r="D25" s="23">
        <v>67</v>
      </c>
      <c r="E25" s="23"/>
      <c r="F25" s="23"/>
      <c r="G25" s="29">
        <v>3.5</v>
      </c>
      <c r="H25" s="29">
        <v>1.5</v>
      </c>
      <c r="I25" s="29">
        <v>2</v>
      </c>
      <c r="J25" s="58">
        <f>I25/G25</f>
        <v>0.5714285714285714</v>
      </c>
      <c r="K25" s="29">
        <f>D25*0.5/I25</f>
        <v>16.75</v>
      </c>
      <c r="L25" s="29">
        <v>1.5</v>
      </c>
      <c r="M25" s="29">
        <v>5.7</v>
      </c>
      <c r="N25" s="24"/>
      <c r="O25" s="108" t="s">
        <v>335</v>
      </c>
    </row>
    <row r="26" spans="1:15">
      <c r="A26" s="27" t="s">
        <v>341</v>
      </c>
      <c r="B26" s="23"/>
      <c r="C26" s="23">
        <v>46</v>
      </c>
      <c r="D26" s="23">
        <v>32</v>
      </c>
      <c r="E26" s="23"/>
      <c r="F26" s="23"/>
      <c r="G26" s="29">
        <v>3.1</v>
      </c>
      <c r="H26" s="29"/>
      <c r="I26" s="29"/>
      <c r="J26" s="23"/>
      <c r="K26" s="23"/>
      <c r="L26" s="29">
        <v>0.9</v>
      </c>
      <c r="M26" s="29">
        <v>5.9</v>
      </c>
      <c r="N26" s="24"/>
      <c r="O26" s="108" t="s">
        <v>335</v>
      </c>
    </row>
    <row r="27" spans="1:15">
      <c r="A27" s="27" t="s">
        <v>341</v>
      </c>
      <c r="B27" s="23"/>
      <c r="C27" s="23">
        <v>80</v>
      </c>
      <c r="D27" s="23">
        <v>60</v>
      </c>
      <c r="E27" s="23"/>
      <c r="F27" s="23"/>
      <c r="G27" s="29">
        <v>5</v>
      </c>
      <c r="H27" s="29"/>
      <c r="I27" s="29"/>
      <c r="J27" s="23"/>
      <c r="K27" s="23"/>
      <c r="L27" s="29">
        <v>1.7</v>
      </c>
      <c r="M27" s="29">
        <v>6.7</v>
      </c>
      <c r="N27" s="24"/>
      <c r="O27" s="108" t="s">
        <v>335</v>
      </c>
    </row>
    <row r="28" spans="1:15">
      <c r="A28" s="27" t="s">
        <v>341</v>
      </c>
      <c r="B28" s="23"/>
      <c r="C28" s="23">
        <v>77</v>
      </c>
      <c r="D28" s="23">
        <v>52</v>
      </c>
      <c r="E28" s="23"/>
      <c r="F28" s="23"/>
      <c r="G28" s="29">
        <v>6.1</v>
      </c>
      <c r="H28" s="29">
        <v>3.5</v>
      </c>
      <c r="I28" s="29">
        <v>2.6</v>
      </c>
      <c r="J28" s="58">
        <f>I28/G28</f>
        <v>0.42622950819672134</v>
      </c>
      <c r="K28" s="29">
        <f>D28*0.5/I28</f>
        <v>10</v>
      </c>
      <c r="L28" s="29">
        <v>3</v>
      </c>
      <c r="M28" s="29" t="s">
        <v>333</v>
      </c>
      <c r="N28" s="24"/>
      <c r="O28" s="108" t="s">
        <v>335</v>
      </c>
    </row>
    <row r="29" spans="1:15">
      <c r="A29" s="27" t="s">
        <v>341</v>
      </c>
      <c r="B29" s="23"/>
      <c r="C29" s="23">
        <v>130</v>
      </c>
      <c r="D29" s="23">
        <v>97</v>
      </c>
      <c r="E29" s="23"/>
      <c r="F29" s="23"/>
      <c r="G29" s="29">
        <v>5.2</v>
      </c>
      <c r="H29" s="29">
        <v>1.3</v>
      </c>
      <c r="I29" s="29">
        <v>3.9</v>
      </c>
      <c r="J29" s="58">
        <f>I29/G29</f>
        <v>0.75</v>
      </c>
      <c r="K29" s="29">
        <f>D29*0.5/I29</f>
        <v>12.435897435897436</v>
      </c>
      <c r="L29" s="29">
        <v>2.6</v>
      </c>
      <c r="M29" s="29">
        <v>7.3</v>
      </c>
      <c r="N29" s="24"/>
      <c r="O29" s="108" t="s">
        <v>335</v>
      </c>
    </row>
    <row r="30" spans="1:15">
      <c r="A30" s="27" t="s">
        <v>341</v>
      </c>
      <c r="B30" s="23"/>
      <c r="C30" s="23">
        <v>111</v>
      </c>
      <c r="D30" s="23">
        <v>83</v>
      </c>
      <c r="E30" s="23"/>
      <c r="F30" s="23"/>
      <c r="G30" s="29">
        <v>4.9000000000000004</v>
      </c>
      <c r="H30" s="29">
        <v>1.7</v>
      </c>
      <c r="I30" s="29">
        <f>G30-H30</f>
        <v>3.2</v>
      </c>
      <c r="J30" s="58">
        <f>I30/G30</f>
        <v>0.65306122448979587</v>
      </c>
      <c r="K30" s="29">
        <f>D30*0.5/I30</f>
        <v>12.96875</v>
      </c>
      <c r="L30" s="29">
        <v>2.2000000000000002</v>
      </c>
      <c r="M30" s="29">
        <v>7.8</v>
      </c>
      <c r="N30" s="24"/>
      <c r="O30" s="108" t="s">
        <v>335</v>
      </c>
    </row>
    <row r="31" spans="1:15">
      <c r="A31" s="27" t="s">
        <v>341</v>
      </c>
      <c r="B31" s="23"/>
      <c r="C31" s="23">
        <v>90</v>
      </c>
      <c r="D31" s="23">
        <v>62</v>
      </c>
      <c r="E31" s="23"/>
      <c r="F31" s="23"/>
      <c r="G31" s="29">
        <v>3.5</v>
      </c>
      <c r="H31" s="29">
        <v>1.2</v>
      </c>
      <c r="I31" s="29">
        <f t="shared" ref="I31:I34" si="2">G31-H31</f>
        <v>2.2999999999999998</v>
      </c>
      <c r="J31" s="58">
        <f t="shared" ref="J31:J34" si="3">I31/G31</f>
        <v>0.65714285714285714</v>
      </c>
      <c r="K31" s="29">
        <f t="shared" ref="K31:K34" si="4">D31*0.5/I31</f>
        <v>13.478260869565219</v>
      </c>
      <c r="L31" s="29">
        <v>1.9</v>
      </c>
      <c r="M31" s="29">
        <v>4.7</v>
      </c>
      <c r="N31" s="24"/>
      <c r="O31" s="108" t="s">
        <v>335</v>
      </c>
    </row>
    <row r="32" spans="1:15">
      <c r="A32" s="27" t="s">
        <v>341</v>
      </c>
      <c r="B32" s="23"/>
      <c r="C32" s="23">
        <v>85</v>
      </c>
      <c r="D32" s="23">
        <v>60</v>
      </c>
      <c r="E32" s="23"/>
      <c r="F32" s="23"/>
      <c r="G32" s="29">
        <v>4.7</v>
      </c>
      <c r="H32" s="29">
        <v>2.4</v>
      </c>
      <c r="I32" s="29">
        <f t="shared" si="2"/>
        <v>2.3000000000000003</v>
      </c>
      <c r="J32" s="58">
        <f t="shared" si="3"/>
        <v>0.48936170212765961</v>
      </c>
      <c r="K32" s="29">
        <f t="shared" si="4"/>
        <v>13.043478260869565</v>
      </c>
      <c r="L32" s="29">
        <v>2.1</v>
      </c>
      <c r="M32" s="29">
        <v>7.8</v>
      </c>
      <c r="N32" s="24"/>
      <c r="O32" s="108" t="s">
        <v>335</v>
      </c>
    </row>
    <row r="33" spans="1:15">
      <c r="A33" s="27" t="s">
        <v>341</v>
      </c>
      <c r="B33" s="23"/>
      <c r="C33" s="23">
        <v>88</v>
      </c>
      <c r="D33" s="23">
        <v>69</v>
      </c>
      <c r="E33" s="23"/>
      <c r="F33" s="23"/>
      <c r="G33" s="29">
        <v>2.9</v>
      </c>
      <c r="H33" s="29">
        <v>1.8</v>
      </c>
      <c r="I33" s="29">
        <f t="shared" si="2"/>
        <v>1.0999999999999999</v>
      </c>
      <c r="J33" s="58">
        <f t="shared" si="3"/>
        <v>0.37931034482758619</v>
      </c>
      <c r="K33" s="29">
        <f t="shared" si="4"/>
        <v>31.363636363636367</v>
      </c>
      <c r="L33" s="29">
        <v>1.4</v>
      </c>
      <c r="M33" s="29">
        <v>5.4</v>
      </c>
      <c r="N33" s="24"/>
      <c r="O33" s="108" t="s">
        <v>335</v>
      </c>
    </row>
    <row r="34" spans="1:15">
      <c r="A34" s="27" t="s">
        <v>341</v>
      </c>
      <c r="B34" s="23"/>
      <c r="C34" s="23">
        <v>88</v>
      </c>
      <c r="D34" s="23">
        <v>69</v>
      </c>
      <c r="E34" s="23"/>
      <c r="F34" s="23"/>
      <c r="G34" s="29">
        <v>2.5</v>
      </c>
      <c r="H34" s="29">
        <v>1.7</v>
      </c>
      <c r="I34" s="29">
        <f t="shared" si="2"/>
        <v>0.8</v>
      </c>
      <c r="J34" s="58">
        <f t="shared" si="3"/>
        <v>0.32</v>
      </c>
      <c r="K34" s="29">
        <f t="shared" si="4"/>
        <v>43.125</v>
      </c>
      <c r="L34" s="29">
        <v>1.4</v>
      </c>
      <c r="M34" s="29">
        <v>5.4</v>
      </c>
      <c r="N34" s="24"/>
      <c r="O34" s="108" t="s">
        <v>335</v>
      </c>
    </row>
    <row r="35" spans="1:15">
      <c r="A35" s="27" t="s">
        <v>341</v>
      </c>
      <c r="B35" s="23"/>
      <c r="C35" s="23">
        <v>79</v>
      </c>
      <c r="D35" s="23">
        <v>55</v>
      </c>
      <c r="E35" s="23"/>
      <c r="F35" s="23"/>
      <c r="G35" s="29">
        <v>3.5</v>
      </c>
      <c r="H35" s="29"/>
      <c r="I35" s="29"/>
      <c r="J35" s="23"/>
      <c r="K35" s="23"/>
      <c r="L35" s="29">
        <v>1.3</v>
      </c>
      <c r="M35" s="29">
        <v>6.7</v>
      </c>
      <c r="N35" s="24"/>
      <c r="O35" s="109" t="s">
        <v>334</v>
      </c>
    </row>
    <row r="36" spans="1:15">
      <c r="A36" s="27" t="s">
        <v>341</v>
      </c>
      <c r="B36" s="23"/>
      <c r="C36" s="23">
        <v>92</v>
      </c>
      <c r="D36" s="23">
        <v>66</v>
      </c>
      <c r="E36" s="23"/>
      <c r="F36" s="23"/>
      <c r="G36" s="29">
        <v>4.4000000000000004</v>
      </c>
      <c r="H36" s="29">
        <v>2.1</v>
      </c>
      <c r="I36" s="29">
        <f>G36-H36</f>
        <v>2.3000000000000003</v>
      </c>
      <c r="J36" s="58">
        <f>I36/G36</f>
        <v>0.52272727272727271</v>
      </c>
      <c r="K36" s="29">
        <f>D36*0.5/I36</f>
        <v>14.34782608695652</v>
      </c>
      <c r="L36" s="29">
        <v>1.8</v>
      </c>
      <c r="M36" s="29">
        <v>7</v>
      </c>
      <c r="N36" s="24"/>
      <c r="O36" s="108" t="s">
        <v>335</v>
      </c>
    </row>
    <row r="37" spans="1:15">
      <c r="A37" s="27" t="s">
        <v>341</v>
      </c>
      <c r="B37" s="23"/>
      <c r="C37" s="23">
        <v>87</v>
      </c>
      <c r="D37" s="23">
        <v>64</v>
      </c>
      <c r="E37" s="23"/>
      <c r="F37" s="23"/>
      <c r="G37" s="29">
        <v>4.5</v>
      </c>
      <c r="H37" s="29">
        <v>2.6</v>
      </c>
      <c r="I37" s="29">
        <f>G37-H37</f>
        <v>1.9</v>
      </c>
      <c r="J37" s="58">
        <f>I37/G37</f>
        <v>0.42222222222222222</v>
      </c>
      <c r="K37" s="29">
        <f>D37*0.5/I37</f>
        <v>16.842105263157894</v>
      </c>
      <c r="L37" s="29">
        <v>1.8</v>
      </c>
      <c r="M37" s="29">
        <v>6.9</v>
      </c>
      <c r="N37" s="24"/>
      <c r="O37" s="108" t="s">
        <v>335</v>
      </c>
    </row>
    <row r="38" spans="1:15">
      <c r="A38" s="27" t="s">
        <v>341</v>
      </c>
      <c r="B38" s="23"/>
      <c r="C38" s="23">
        <v>109</v>
      </c>
      <c r="D38" s="23">
        <v>86</v>
      </c>
      <c r="E38" s="23"/>
      <c r="F38" s="23"/>
      <c r="G38" s="29">
        <v>4.7</v>
      </c>
      <c r="H38" s="29"/>
      <c r="I38" s="29"/>
      <c r="J38" s="23"/>
      <c r="K38" s="23"/>
      <c r="L38" s="29">
        <v>1.6</v>
      </c>
      <c r="M38" s="29">
        <v>6.1</v>
      </c>
      <c r="N38" s="24"/>
      <c r="O38" s="108" t="s">
        <v>335</v>
      </c>
    </row>
    <row r="39" spans="1:15">
      <c r="A39" s="27" t="s">
        <v>341</v>
      </c>
      <c r="B39" s="23"/>
      <c r="C39" s="23">
        <v>50</v>
      </c>
      <c r="D39" s="23">
        <v>37</v>
      </c>
      <c r="E39" s="23"/>
      <c r="F39" s="23"/>
      <c r="G39" s="29">
        <v>2.4</v>
      </c>
      <c r="H39" s="29">
        <v>1.1000000000000001</v>
      </c>
      <c r="I39" s="29">
        <v>1.2</v>
      </c>
      <c r="J39" s="58">
        <f t="shared" ref="J39:J42" si="5">I39/G39</f>
        <v>0.5</v>
      </c>
      <c r="K39" s="29">
        <f t="shared" ref="K39:K42" si="6">D39*0.5/I39</f>
        <v>15.416666666666668</v>
      </c>
      <c r="L39" s="29">
        <v>0.9</v>
      </c>
      <c r="M39" s="29">
        <v>3.7</v>
      </c>
      <c r="N39" s="24"/>
      <c r="O39" s="108" t="s">
        <v>335</v>
      </c>
    </row>
    <row r="40" spans="1:15">
      <c r="A40" s="27" t="s">
        <v>341</v>
      </c>
      <c r="B40" s="23"/>
      <c r="C40" s="23">
        <v>87</v>
      </c>
      <c r="D40" s="23">
        <v>60</v>
      </c>
      <c r="E40" s="23"/>
      <c r="F40" s="23"/>
      <c r="G40" s="29">
        <v>3.8</v>
      </c>
      <c r="H40" s="29">
        <v>2.4</v>
      </c>
      <c r="I40" s="29">
        <v>1.4</v>
      </c>
      <c r="J40" s="58">
        <f t="shared" si="5"/>
        <v>0.36842105263157893</v>
      </c>
      <c r="K40" s="29">
        <f t="shared" si="6"/>
        <v>21.428571428571431</v>
      </c>
      <c r="L40" s="29">
        <v>1.8</v>
      </c>
      <c r="M40" s="29">
        <v>5.0999999999999996</v>
      </c>
      <c r="N40" s="24"/>
      <c r="O40" s="108" t="s">
        <v>335</v>
      </c>
    </row>
    <row r="41" spans="1:15">
      <c r="A41" s="27" t="s">
        <v>341</v>
      </c>
      <c r="B41" s="23"/>
      <c r="C41" s="23">
        <v>98</v>
      </c>
      <c r="D41" s="23">
        <v>79</v>
      </c>
      <c r="E41" s="23"/>
      <c r="F41" s="23"/>
      <c r="G41" s="29">
        <v>3.5</v>
      </c>
      <c r="H41" s="29">
        <v>1.8</v>
      </c>
      <c r="I41" s="29">
        <v>1.7</v>
      </c>
      <c r="J41" s="58">
        <f t="shared" si="5"/>
        <v>0.48571428571428571</v>
      </c>
      <c r="K41" s="29">
        <f t="shared" si="6"/>
        <v>23.235294117647058</v>
      </c>
      <c r="L41" s="29">
        <v>1.6</v>
      </c>
      <c r="M41" s="29">
        <v>6.2</v>
      </c>
      <c r="N41" s="24"/>
      <c r="O41" s="108" t="s">
        <v>335</v>
      </c>
    </row>
    <row r="42" spans="1:15">
      <c r="A42" s="27" t="s">
        <v>341</v>
      </c>
      <c r="B42" s="23"/>
      <c r="C42" s="23">
        <v>96</v>
      </c>
      <c r="D42" s="23">
        <v>76</v>
      </c>
      <c r="E42" s="23"/>
      <c r="F42" s="23"/>
      <c r="G42" s="29">
        <v>3</v>
      </c>
      <c r="H42" s="29">
        <v>1.5</v>
      </c>
      <c r="I42" s="29">
        <v>1.5</v>
      </c>
      <c r="J42" s="58">
        <f t="shared" si="5"/>
        <v>0.5</v>
      </c>
      <c r="K42" s="29">
        <f t="shared" si="6"/>
        <v>25.333333333333332</v>
      </c>
      <c r="L42" s="29">
        <v>1.5</v>
      </c>
      <c r="M42" s="29">
        <v>5.4</v>
      </c>
      <c r="N42" s="24"/>
      <c r="O42" s="108" t="s">
        <v>335</v>
      </c>
    </row>
    <row r="43" spans="1:15">
      <c r="A43" s="27" t="s">
        <v>341</v>
      </c>
      <c r="B43" s="23"/>
      <c r="C43" s="23">
        <v>77</v>
      </c>
      <c r="D43" s="23">
        <v>56</v>
      </c>
      <c r="E43" s="23"/>
      <c r="F43" s="23"/>
      <c r="G43" s="29">
        <v>3</v>
      </c>
      <c r="H43" s="29">
        <v>1.4</v>
      </c>
      <c r="I43" s="29">
        <f>G43-H43</f>
        <v>1.6</v>
      </c>
      <c r="J43" s="58">
        <f>I43/G43</f>
        <v>0.53333333333333333</v>
      </c>
      <c r="K43" s="29">
        <f>D43*0.5/I43</f>
        <v>17.5</v>
      </c>
      <c r="L43" s="29">
        <v>1.3</v>
      </c>
      <c r="M43" s="29">
        <v>5.0999999999999996</v>
      </c>
      <c r="N43" s="24"/>
      <c r="O43" s="108" t="s">
        <v>335</v>
      </c>
    </row>
    <row r="44" spans="1:15">
      <c r="A44" s="27" t="s">
        <v>341</v>
      </c>
      <c r="B44" s="23"/>
      <c r="C44" s="23">
        <v>105</v>
      </c>
      <c r="D44" s="23">
        <v>79</v>
      </c>
      <c r="E44" s="23"/>
      <c r="F44" s="23"/>
      <c r="G44" s="29">
        <v>4.3</v>
      </c>
      <c r="H44" s="29">
        <v>1.6</v>
      </c>
      <c r="I44" s="29">
        <f>G44-H44</f>
        <v>2.6999999999999997</v>
      </c>
      <c r="J44" s="58">
        <f>I44/G44</f>
        <v>0.62790697674418605</v>
      </c>
      <c r="K44" s="29">
        <f>D44*0.5/I44</f>
        <v>14.629629629629632</v>
      </c>
      <c r="L44" s="29">
        <v>3.4</v>
      </c>
      <c r="M44" s="29" t="s">
        <v>333</v>
      </c>
      <c r="N44" s="24"/>
      <c r="O44" s="108" t="s">
        <v>335</v>
      </c>
    </row>
    <row r="45" spans="1:15">
      <c r="A45" s="27" t="s">
        <v>341</v>
      </c>
      <c r="B45" s="23"/>
      <c r="C45" s="23">
        <v>93</v>
      </c>
      <c r="D45" s="23">
        <v>68</v>
      </c>
      <c r="E45" s="23"/>
      <c r="F45" s="23"/>
      <c r="G45" s="29">
        <v>4</v>
      </c>
      <c r="H45" s="29">
        <v>1.7</v>
      </c>
      <c r="I45" s="29">
        <f>G45-H45</f>
        <v>2.2999999999999998</v>
      </c>
      <c r="J45" s="58">
        <f>I45/G45</f>
        <v>0.57499999999999996</v>
      </c>
      <c r="K45" s="29">
        <f>D45*0.5/I45</f>
        <v>14.782608695652176</v>
      </c>
      <c r="L45" s="29">
        <v>2</v>
      </c>
      <c r="M45" s="29" t="s">
        <v>333</v>
      </c>
      <c r="N45" s="24"/>
      <c r="O45" s="108" t="s">
        <v>335</v>
      </c>
    </row>
    <row r="46" spans="1:15">
      <c r="A46" s="27" t="s">
        <v>341</v>
      </c>
      <c r="B46" s="23"/>
      <c r="C46" s="23">
        <v>88</v>
      </c>
      <c r="D46" s="23">
        <v>64</v>
      </c>
      <c r="E46" s="23"/>
      <c r="F46" s="23"/>
      <c r="G46" s="29">
        <v>4.7</v>
      </c>
      <c r="H46" s="29">
        <v>2.6</v>
      </c>
      <c r="I46" s="29">
        <v>2.1</v>
      </c>
      <c r="J46" s="58">
        <f t="shared" ref="J46:J109" si="7">I46/G46</f>
        <v>0.44680851063829785</v>
      </c>
      <c r="K46" s="29">
        <f t="shared" ref="K46:K109" si="8">D46*0.5/I46</f>
        <v>15.238095238095237</v>
      </c>
      <c r="L46" s="29">
        <v>1.8</v>
      </c>
      <c r="M46" s="29">
        <v>6.9</v>
      </c>
      <c r="N46" s="24"/>
      <c r="O46" s="108" t="s">
        <v>335</v>
      </c>
    </row>
    <row r="47" spans="1:15">
      <c r="A47" s="27" t="s">
        <v>341</v>
      </c>
      <c r="B47" s="23"/>
      <c r="C47" s="23">
        <v>41</v>
      </c>
      <c r="D47" s="23">
        <v>26</v>
      </c>
      <c r="E47" s="23"/>
      <c r="F47" s="23"/>
      <c r="G47" s="29">
        <v>2.6</v>
      </c>
      <c r="H47" s="29">
        <v>1.6</v>
      </c>
      <c r="I47" s="29">
        <v>1</v>
      </c>
      <c r="J47" s="58">
        <f t="shared" si="7"/>
        <v>0.38461538461538458</v>
      </c>
      <c r="K47" s="29">
        <f t="shared" si="8"/>
        <v>13</v>
      </c>
      <c r="L47" s="29">
        <v>0.8</v>
      </c>
      <c r="M47" s="29">
        <v>6.8</v>
      </c>
      <c r="N47" s="24"/>
      <c r="O47" s="108" t="s">
        <v>335</v>
      </c>
    </row>
    <row r="48" spans="1:15">
      <c r="A48" s="27" t="s">
        <v>341</v>
      </c>
      <c r="B48" s="23"/>
      <c r="C48" s="23">
        <v>109</v>
      </c>
      <c r="D48" s="23">
        <v>77</v>
      </c>
      <c r="E48" s="23"/>
      <c r="F48" s="23"/>
      <c r="G48" s="29">
        <v>4.2</v>
      </c>
      <c r="H48" s="29">
        <v>2</v>
      </c>
      <c r="I48" s="29">
        <v>2</v>
      </c>
      <c r="J48" s="58">
        <f t="shared" si="7"/>
        <v>0.47619047619047616</v>
      </c>
      <c r="K48" s="29">
        <f t="shared" si="8"/>
        <v>19.25</v>
      </c>
      <c r="L48" s="29">
        <v>2.2000000000000002</v>
      </c>
      <c r="M48" s="29">
        <v>5.7</v>
      </c>
      <c r="N48" s="24"/>
      <c r="O48" s="108" t="s">
        <v>335</v>
      </c>
    </row>
    <row r="49" spans="1:15">
      <c r="A49" s="27" t="s">
        <v>341</v>
      </c>
      <c r="B49" s="23"/>
      <c r="C49" s="23">
        <v>105</v>
      </c>
      <c r="D49" s="23">
        <v>82</v>
      </c>
      <c r="E49" s="23"/>
      <c r="F49" s="23"/>
      <c r="G49" s="29">
        <v>4.5999999999999996</v>
      </c>
      <c r="H49" s="29">
        <v>2.1</v>
      </c>
      <c r="I49" s="29">
        <v>2.5</v>
      </c>
      <c r="J49" s="58">
        <f t="shared" si="7"/>
        <v>0.5434782608695653</v>
      </c>
      <c r="K49" s="29">
        <f t="shared" si="8"/>
        <v>16.399999999999999</v>
      </c>
      <c r="L49" s="29">
        <v>1.4</v>
      </c>
      <c r="M49" s="29">
        <v>6.6</v>
      </c>
      <c r="N49" s="24"/>
      <c r="O49" s="108" t="s">
        <v>335</v>
      </c>
    </row>
    <row r="50" spans="1:15">
      <c r="A50" s="27" t="s">
        <v>341</v>
      </c>
      <c r="B50" s="23"/>
      <c r="C50" s="23">
        <v>65</v>
      </c>
      <c r="D50" s="23">
        <v>48</v>
      </c>
      <c r="E50" s="23"/>
      <c r="F50" s="23"/>
      <c r="G50" s="29">
        <v>2.7</v>
      </c>
      <c r="H50" s="29">
        <v>1.7</v>
      </c>
      <c r="I50" s="29">
        <v>1</v>
      </c>
      <c r="J50" s="58">
        <f t="shared" si="7"/>
        <v>0.37037037037037035</v>
      </c>
      <c r="K50" s="29">
        <f t="shared" si="8"/>
        <v>24</v>
      </c>
      <c r="L50" s="29">
        <v>1</v>
      </c>
      <c r="M50" s="29">
        <v>5.0999999999999996</v>
      </c>
      <c r="N50" s="24"/>
      <c r="O50" s="108" t="s">
        <v>335</v>
      </c>
    </row>
    <row r="51" spans="1:15">
      <c r="A51" s="27" t="s">
        <v>341</v>
      </c>
      <c r="B51" s="23"/>
      <c r="C51" s="23">
        <v>75</v>
      </c>
      <c r="D51" s="23">
        <v>54</v>
      </c>
      <c r="E51" s="23"/>
      <c r="F51" s="23"/>
      <c r="G51" s="29">
        <v>3.3</v>
      </c>
      <c r="H51" s="29">
        <v>1.7</v>
      </c>
      <c r="I51" s="29">
        <v>1.6</v>
      </c>
      <c r="J51" s="58">
        <f t="shared" si="7"/>
        <v>0.48484848484848492</v>
      </c>
      <c r="K51" s="29">
        <f t="shared" si="8"/>
        <v>16.875</v>
      </c>
      <c r="L51" s="29">
        <v>1.4</v>
      </c>
      <c r="M51" s="29">
        <v>6.4</v>
      </c>
      <c r="N51" s="24"/>
      <c r="O51" s="108" t="s">
        <v>335</v>
      </c>
    </row>
    <row r="52" spans="1:15">
      <c r="A52" s="27" t="s">
        <v>341</v>
      </c>
      <c r="B52" s="23"/>
      <c r="C52" s="23">
        <v>102</v>
      </c>
      <c r="D52" s="23">
        <v>72</v>
      </c>
      <c r="E52" s="23"/>
      <c r="F52" s="23"/>
      <c r="G52" s="29">
        <v>3.3</v>
      </c>
      <c r="H52" s="29">
        <v>1.3</v>
      </c>
      <c r="I52" s="29">
        <v>2</v>
      </c>
      <c r="J52" s="58">
        <f t="shared" si="7"/>
        <v>0.60606060606060608</v>
      </c>
      <c r="K52" s="29">
        <f t="shared" si="8"/>
        <v>18</v>
      </c>
      <c r="L52" s="29">
        <v>1.7</v>
      </c>
      <c r="M52" s="29">
        <v>5.2</v>
      </c>
      <c r="N52" s="24"/>
      <c r="O52" s="108" t="s">
        <v>335</v>
      </c>
    </row>
    <row r="53" spans="1:15">
      <c r="A53" s="27" t="s">
        <v>341</v>
      </c>
      <c r="B53" s="23"/>
      <c r="C53" s="23">
        <v>82</v>
      </c>
      <c r="D53" s="23">
        <v>63</v>
      </c>
      <c r="E53" s="23"/>
      <c r="F53" s="23"/>
      <c r="G53" s="29">
        <v>4.5</v>
      </c>
      <c r="H53" s="29">
        <v>2.5</v>
      </c>
      <c r="I53" s="29">
        <v>1.9</v>
      </c>
      <c r="J53" s="58">
        <f t="shared" si="7"/>
        <v>0.42222222222222222</v>
      </c>
      <c r="K53" s="29">
        <f t="shared" si="8"/>
        <v>16.578947368421055</v>
      </c>
      <c r="L53" s="29">
        <v>1.8</v>
      </c>
      <c r="M53" s="29">
        <v>7.6</v>
      </c>
      <c r="N53" s="24"/>
      <c r="O53" s="108" t="s">
        <v>335</v>
      </c>
    </row>
    <row r="54" spans="1:15">
      <c r="A54" s="27" t="s">
        <v>341</v>
      </c>
      <c r="B54" s="23"/>
      <c r="C54" s="23">
        <v>91</v>
      </c>
      <c r="D54" s="23">
        <v>72</v>
      </c>
      <c r="E54" s="23"/>
      <c r="F54" s="23"/>
      <c r="G54" s="29">
        <v>3.9</v>
      </c>
      <c r="H54" s="29">
        <v>1.8</v>
      </c>
      <c r="I54" s="29">
        <v>2</v>
      </c>
      <c r="J54" s="58">
        <f t="shared" si="7"/>
        <v>0.51282051282051289</v>
      </c>
      <c r="K54" s="29">
        <f t="shared" si="8"/>
        <v>18</v>
      </c>
      <c r="L54" s="29">
        <v>2</v>
      </c>
      <c r="M54" s="29">
        <v>6.1</v>
      </c>
      <c r="N54" s="24"/>
      <c r="O54" s="108" t="s">
        <v>335</v>
      </c>
    </row>
    <row r="55" spans="1:15">
      <c r="A55" s="27" t="s">
        <v>341</v>
      </c>
      <c r="B55" s="23"/>
      <c r="C55" s="23">
        <v>92</v>
      </c>
      <c r="D55" s="23">
        <v>74</v>
      </c>
      <c r="E55" s="23"/>
      <c r="F55" s="23"/>
      <c r="G55" s="29">
        <v>3.2</v>
      </c>
      <c r="H55" s="29">
        <v>1.4</v>
      </c>
      <c r="I55" s="29">
        <v>1.8</v>
      </c>
      <c r="J55" s="58">
        <f t="shared" si="7"/>
        <v>0.5625</v>
      </c>
      <c r="K55" s="29">
        <f t="shared" si="8"/>
        <v>20.555555555555554</v>
      </c>
      <c r="L55" s="29">
        <v>1.5</v>
      </c>
      <c r="M55" s="29">
        <v>5.4</v>
      </c>
      <c r="N55" s="24"/>
      <c r="O55" s="108" t="s">
        <v>335</v>
      </c>
    </row>
    <row r="56" spans="1:15">
      <c r="A56" s="27" t="s">
        <v>341</v>
      </c>
      <c r="B56" s="23"/>
      <c r="C56" s="23">
        <v>92</v>
      </c>
      <c r="D56" s="23">
        <v>74</v>
      </c>
      <c r="E56" s="23"/>
      <c r="F56" s="23"/>
      <c r="G56" s="29">
        <v>3.5</v>
      </c>
      <c r="H56" s="29">
        <v>1.6</v>
      </c>
      <c r="I56" s="29">
        <v>2</v>
      </c>
      <c r="J56" s="58">
        <f t="shared" si="7"/>
        <v>0.5714285714285714</v>
      </c>
      <c r="K56" s="29">
        <f t="shared" si="8"/>
        <v>18.5</v>
      </c>
      <c r="L56" s="29">
        <v>1.5</v>
      </c>
      <c r="M56" s="29">
        <v>5.8</v>
      </c>
      <c r="N56" s="24"/>
      <c r="O56" s="108" t="s">
        <v>335</v>
      </c>
    </row>
    <row r="57" spans="1:15">
      <c r="A57" s="27" t="s">
        <v>341</v>
      </c>
      <c r="B57" s="23"/>
      <c r="C57" s="23">
        <v>118</v>
      </c>
      <c r="D57" s="23">
        <v>85</v>
      </c>
      <c r="E57" s="23"/>
      <c r="F57" s="23"/>
      <c r="G57" s="29">
        <v>6.4</v>
      </c>
      <c r="H57" s="29">
        <v>3</v>
      </c>
      <c r="I57" s="29">
        <v>3.4</v>
      </c>
      <c r="J57" s="58">
        <f t="shared" si="7"/>
        <v>0.53125</v>
      </c>
      <c r="K57" s="29">
        <f t="shared" si="8"/>
        <v>12.5</v>
      </c>
      <c r="L57" s="29">
        <v>3</v>
      </c>
      <c r="M57" s="29">
        <v>8.9</v>
      </c>
      <c r="N57" s="24"/>
      <c r="O57" s="108" t="s">
        <v>335</v>
      </c>
    </row>
    <row r="58" spans="1:15">
      <c r="A58" s="27" t="s">
        <v>341</v>
      </c>
      <c r="B58" s="23"/>
      <c r="C58" s="23">
        <v>61</v>
      </c>
      <c r="D58" s="23">
        <v>46</v>
      </c>
      <c r="E58" s="23"/>
      <c r="F58" s="23"/>
      <c r="G58" s="29">
        <v>3.1</v>
      </c>
      <c r="H58" s="29">
        <v>1.7</v>
      </c>
      <c r="I58" s="29">
        <v>1.4</v>
      </c>
      <c r="J58" s="58">
        <f t="shared" si="7"/>
        <v>0.45161290322580638</v>
      </c>
      <c r="K58" s="29">
        <f t="shared" si="8"/>
        <v>16.428571428571431</v>
      </c>
      <c r="L58" s="29">
        <v>1.1000000000000001</v>
      </c>
      <c r="M58" s="29">
        <v>6.4</v>
      </c>
      <c r="N58" s="24"/>
      <c r="O58" s="108" t="s">
        <v>335</v>
      </c>
    </row>
    <row r="59" spans="1:15">
      <c r="A59" s="27" t="s">
        <v>341</v>
      </c>
      <c r="B59" s="23"/>
      <c r="C59" s="23">
        <v>100</v>
      </c>
      <c r="D59" s="23">
        <v>77</v>
      </c>
      <c r="E59" s="23"/>
      <c r="F59" s="23"/>
      <c r="G59" s="29">
        <v>4</v>
      </c>
      <c r="H59" s="29">
        <v>1.8</v>
      </c>
      <c r="I59" s="29">
        <v>2.2000000000000002</v>
      </c>
      <c r="J59" s="58">
        <f t="shared" si="7"/>
        <v>0.55000000000000004</v>
      </c>
      <c r="K59" s="29">
        <f t="shared" si="8"/>
        <v>17.5</v>
      </c>
      <c r="L59" s="29">
        <v>1.8</v>
      </c>
      <c r="M59" s="29">
        <v>6.9</v>
      </c>
      <c r="N59" s="24"/>
      <c r="O59" s="108" t="s">
        <v>335</v>
      </c>
    </row>
    <row r="60" spans="1:15">
      <c r="A60" s="27" t="s">
        <v>341</v>
      </c>
      <c r="B60" s="23"/>
      <c r="C60" s="23">
        <v>134</v>
      </c>
      <c r="D60" s="23">
        <v>91</v>
      </c>
      <c r="E60" s="23"/>
      <c r="F60" s="23"/>
      <c r="G60" s="29">
        <v>4.4000000000000004</v>
      </c>
      <c r="H60" s="29">
        <v>1.4</v>
      </c>
      <c r="I60" s="29">
        <v>3</v>
      </c>
      <c r="J60" s="58">
        <f t="shared" si="7"/>
        <v>0.68181818181818177</v>
      </c>
      <c r="K60" s="29">
        <f t="shared" si="8"/>
        <v>15.166666666666666</v>
      </c>
      <c r="L60" s="29">
        <v>2.1</v>
      </c>
      <c r="M60" s="29">
        <v>5.3</v>
      </c>
      <c r="N60" s="24"/>
      <c r="O60" s="108" t="s">
        <v>335</v>
      </c>
    </row>
    <row r="61" spans="1:15">
      <c r="A61" s="27" t="s">
        <v>341</v>
      </c>
      <c r="B61" s="23"/>
      <c r="C61" s="23">
        <v>104</v>
      </c>
      <c r="D61" s="23">
        <v>76</v>
      </c>
      <c r="E61" s="23"/>
      <c r="F61" s="23"/>
      <c r="G61" s="29">
        <v>3.9</v>
      </c>
      <c r="H61" s="29">
        <v>1.7</v>
      </c>
      <c r="I61" s="29">
        <v>2.1</v>
      </c>
      <c r="J61" s="58">
        <f t="shared" si="7"/>
        <v>0.53846153846153855</v>
      </c>
      <c r="K61" s="29">
        <f t="shared" si="8"/>
        <v>18.095238095238095</v>
      </c>
      <c r="L61" s="29">
        <v>1.7</v>
      </c>
      <c r="M61" s="29">
        <v>6.9</v>
      </c>
      <c r="N61" s="24"/>
      <c r="O61" s="108" t="s">
        <v>335</v>
      </c>
    </row>
    <row r="62" spans="1:15">
      <c r="A62" s="27" t="s">
        <v>341</v>
      </c>
      <c r="B62" s="23"/>
      <c r="C62" s="23">
        <v>89</v>
      </c>
      <c r="D62" s="23">
        <v>71</v>
      </c>
      <c r="E62" s="23"/>
      <c r="F62" s="23"/>
      <c r="G62" s="29">
        <v>3.1</v>
      </c>
      <c r="H62" s="29">
        <v>1.4</v>
      </c>
      <c r="I62" s="29">
        <v>1.7</v>
      </c>
      <c r="J62" s="58">
        <f t="shared" si="7"/>
        <v>0.54838709677419351</v>
      </c>
      <c r="K62" s="29">
        <f t="shared" si="8"/>
        <v>20.882352941176471</v>
      </c>
      <c r="L62" s="29">
        <v>1.5</v>
      </c>
      <c r="M62" s="29">
        <v>5.9</v>
      </c>
      <c r="N62" s="24"/>
      <c r="O62" s="108" t="s">
        <v>335</v>
      </c>
    </row>
    <row r="63" spans="1:15">
      <c r="A63" s="27" t="s">
        <v>341</v>
      </c>
      <c r="B63" s="23"/>
      <c r="C63" s="23">
        <v>76</v>
      </c>
      <c r="D63" s="23">
        <v>60</v>
      </c>
      <c r="E63" s="23"/>
      <c r="F63" s="23"/>
      <c r="G63" s="29">
        <v>3.1</v>
      </c>
      <c r="H63" s="29">
        <v>1.5</v>
      </c>
      <c r="I63" s="29">
        <v>1.7</v>
      </c>
      <c r="J63" s="58">
        <f t="shared" si="7"/>
        <v>0.54838709677419351</v>
      </c>
      <c r="K63" s="29">
        <f t="shared" si="8"/>
        <v>17.647058823529413</v>
      </c>
      <c r="L63" s="29">
        <v>1.3</v>
      </c>
      <c r="M63" s="29">
        <v>5.7</v>
      </c>
      <c r="N63" s="24"/>
      <c r="O63" s="108" t="s">
        <v>335</v>
      </c>
    </row>
    <row r="64" spans="1:15">
      <c r="A64" s="27" t="s">
        <v>341</v>
      </c>
      <c r="B64" s="23"/>
      <c r="C64" s="23">
        <v>77</v>
      </c>
      <c r="D64" s="23">
        <v>60</v>
      </c>
      <c r="E64" s="23"/>
      <c r="F64" s="23"/>
      <c r="G64" s="29">
        <v>3.4</v>
      </c>
      <c r="H64" s="29">
        <v>1.7</v>
      </c>
      <c r="I64" s="29">
        <v>1.7</v>
      </c>
      <c r="J64" s="58">
        <f t="shared" si="7"/>
        <v>0.5</v>
      </c>
      <c r="K64" s="29">
        <f t="shared" si="8"/>
        <v>17.647058823529413</v>
      </c>
      <c r="L64" s="29">
        <v>1.3</v>
      </c>
      <c r="M64" s="29">
        <v>6.5</v>
      </c>
      <c r="N64" s="24"/>
      <c r="O64" s="108" t="s">
        <v>335</v>
      </c>
    </row>
    <row r="65" spans="1:15">
      <c r="A65" s="27" t="s">
        <v>341</v>
      </c>
      <c r="B65" s="23"/>
      <c r="C65" s="23">
        <v>63</v>
      </c>
      <c r="D65" s="23">
        <v>48</v>
      </c>
      <c r="E65" s="23"/>
      <c r="F65" s="23"/>
      <c r="G65" s="29">
        <v>3</v>
      </c>
      <c r="H65" s="29">
        <v>1.7</v>
      </c>
      <c r="I65" s="29">
        <v>1.3</v>
      </c>
      <c r="J65" s="58">
        <f t="shared" si="7"/>
        <v>0.43333333333333335</v>
      </c>
      <c r="K65" s="29">
        <f t="shared" si="8"/>
        <v>18.46153846153846</v>
      </c>
      <c r="L65" s="29">
        <v>1.2</v>
      </c>
      <c r="M65" s="29">
        <v>5.9</v>
      </c>
      <c r="N65" s="24"/>
      <c r="O65" s="108" t="s">
        <v>335</v>
      </c>
    </row>
    <row r="66" spans="1:15">
      <c r="A66" s="27" t="s">
        <v>341</v>
      </c>
      <c r="B66" s="23"/>
      <c r="C66" s="23">
        <v>96</v>
      </c>
      <c r="D66" s="23">
        <v>74</v>
      </c>
      <c r="E66" s="23"/>
      <c r="F66" s="23"/>
      <c r="G66" s="29">
        <v>4.0999999999999996</v>
      </c>
      <c r="H66" s="29">
        <v>2.1</v>
      </c>
      <c r="I66" s="29">
        <v>2</v>
      </c>
      <c r="J66" s="58">
        <f t="shared" si="7"/>
        <v>0.48780487804878053</v>
      </c>
      <c r="K66" s="29">
        <f t="shared" si="8"/>
        <v>18.5</v>
      </c>
      <c r="L66" s="29">
        <v>1.7</v>
      </c>
      <c r="M66" s="29">
        <v>6</v>
      </c>
      <c r="N66" s="24"/>
      <c r="O66" s="108" t="s">
        <v>335</v>
      </c>
    </row>
    <row r="67" spans="1:15">
      <c r="A67" s="27" t="s">
        <v>341</v>
      </c>
      <c r="B67" s="23"/>
      <c r="C67" s="23">
        <v>59</v>
      </c>
      <c r="D67" s="23">
        <v>41</v>
      </c>
      <c r="E67" s="23"/>
      <c r="F67" s="23"/>
      <c r="G67" s="29">
        <v>3.4</v>
      </c>
      <c r="H67" s="29">
        <v>1.9</v>
      </c>
      <c r="I67" s="29">
        <v>1.5</v>
      </c>
      <c r="J67" s="58">
        <f t="shared" si="7"/>
        <v>0.44117647058823528</v>
      </c>
      <c r="K67" s="29">
        <f t="shared" si="8"/>
        <v>13.666666666666666</v>
      </c>
      <c r="L67" s="29">
        <v>1.4</v>
      </c>
      <c r="M67" s="29">
        <v>7.1</v>
      </c>
      <c r="N67" s="24"/>
      <c r="O67" s="108" t="s">
        <v>335</v>
      </c>
    </row>
    <row r="68" spans="1:15">
      <c r="A68" s="27" t="s">
        <v>341</v>
      </c>
      <c r="B68" s="23"/>
      <c r="C68" s="23">
        <v>64</v>
      </c>
      <c r="D68" s="23">
        <v>48</v>
      </c>
      <c r="E68" s="23"/>
      <c r="F68" s="23"/>
      <c r="G68" s="29">
        <v>3.5</v>
      </c>
      <c r="H68" s="29">
        <v>1.9</v>
      </c>
      <c r="I68" s="29">
        <v>1.6</v>
      </c>
      <c r="J68" s="58">
        <f t="shared" si="7"/>
        <v>0.45714285714285718</v>
      </c>
      <c r="K68" s="29">
        <f t="shared" si="8"/>
        <v>15</v>
      </c>
      <c r="L68" s="29">
        <v>1.4</v>
      </c>
      <c r="M68" s="29">
        <v>6.3</v>
      </c>
      <c r="N68" s="24"/>
      <c r="O68" s="108" t="s">
        <v>335</v>
      </c>
    </row>
    <row r="69" spans="1:15">
      <c r="A69" s="27" t="s">
        <v>341</v>
      </c>
      <c r="B69" s="23"/>
      <c r="C69" s="23">
        <v>89</v>
      </c>
      <c r="D69" s="23">
        <v>69</v>
      </c>
      <c r="E69" s="23"/>
      <c r="F69" s="23"/>
      <c r="G69" s="29">
        <v>4.5</v>
      </c>
      <c r="H69" s="29">
        <v>2.2999999999999998</v>
      </c>
      <c r="I69" s="29">
        <v>2.1</v>
      </c>
      <c r="J69" s="58">
        <f t="shared" si="7"/>
        <v>0.46666666666666667</v>
      </c>
      <c r="K69" s="29">
        <f t="shared" si="8"/>
        <v>16.428571428571427</v>
      </c>
      <c r="L69" s="29">
        <v>2.1</v>
      </c>
      <c r="M69" s="29">
        <v>7</v>
      </c>
      <c r="N69" s="24"/>
      <c r="O69" s="108" t="s">
        <v>335</v>
      </c>
    </row>
    <row r="70" spans="1:15">
      <c r="A70" s="27" t="s">
        <v>341</v>
      </c>
      <c r="B70" s="23"/>
      <c r="C70" s="23">
        <v>95</v>
      </c>
      <c r="D70" s="23">
        <v>64</v>
      </c>
      <c r="E70" s="23"/>
      <c r="F70" s="23"/>
      <c r="G70" s="29">
        <v>5.0999999999999996</v>
      </c>
      <c r="H70" s="29">
        <v>2.4</v>
      </c>
      <c r="I70" s="29">
        <v>2.6</v>
      </c>
      <c r="J70" s="58">
        <f t="shared" si="7"/>
        <v>0.50980392156862753</v>
      </c>
      <c r="K70" s="29">
        <f t="shared" si="8"/>
        <v>12.307692307692307</v>
      </c>
      <c r="L70" s="29">
        <v>2.2999999999999998</v>
      </c>
      <c r="M70" s="29">
        <v>7.7</v>
      </c>
      <c r="N70" s="24"/>
      <c r="O70" s="108" t="s">
        <v>335</v>
      </c>
    </row>
    <row r="71" spans="1:15">
      <c r="A71" s="27" t="s">
        <v>341</v>
      </c>
      <c r="B71" s="23"/>
      <c r="C71" s="23">
        <v>93</v>
      </c>
      <c r="D71" s="23">
        <v>71</v>
      </c>
      <c r="E71" s="23"/>
      <c r="F71" s="23"/>
      <c r="G71" s="29">
        <v>3.8</v>
      </c>
      <c r="H71" s="29">
        <v>1.7</v>
      </c>
      <c r="I71" s="29">
        <v>2.1</v>
      </c>
      <c r="J71" s="58">
        <f t="shared" si="7"/>
        <v>0.55263157894736847</v>
      </c>
      <c r="K71" s="29">
        <f t="shared" si="8"/>
        <v>16.904761904761905</v>
      </c>
      <c r="L71" s="29">
        <v>1.6</v>
      </c>
      <c r="M71" s="29">
        <v>6.7</v>
      </c>
      <c r="N71" s="24"/>
      <c r="O71" s="108" t="s">
        <v>335</v>
      </c>
    </row>
    <row r="72" spans="1:15">
      <c r="A72" s="27" t="s">
        <v>341</v>
      </c>
      <c r="B72" s="23"/>
      <c r="C72" s="23">
        <v>73</v>
      </c>
      <c r="D72" s="23">
        <v>52</v>
      </c>
      <c r="E72" s="23"/>
      <c r="F72" s="23"/>
      <c r="G72" s="29">
        <v>3.1</v>
      </c>
      <c r="H72" s="29">
        <v>2</v>
      </c>
      <c r="I72" s="29">
        <v>1</v>
      </c>
      <c r="J72" s="58">
        <f t="shared" si="7"/>
        <v>0.32258064516129031</v>
      </c>
      <c r="K72" s="29">
        <f t="shared" si="8"/>
        <v>26</v>
      </c>
      <c r="L72" s="29">
        <v>1.3</v>
      </c>
      <c r="M72" s="29">
        <v>5.7</v>
      </c>
      <c r="N72" s="24"/>
      <c r="O72" s="108" t="s">
        <v>335</v>
      </c>
    </row>
    <row r="73" spans="1:15">
      <c r="A73" s="27" t="s">
        <v>341</v>
      </c>
      <c r="B73" s="23"/>
      <c r="C73" s="23">
        <v>99</v>
      </c>
      <c r="D73" s="23">
        <v>76</v>
      </c>
      <c r="E73" s="23"/>
      <c r="F73" s="23"/>
      <c r="G73" s="29">
        <v>3.4</v>
      </c>
      <c r="H73" s="29">
        <v>1.3</v>
      </c>
      <c r="I73" s="29">
        <f>G73-H73</f>
        <v>2.0999999999999996</v>
      </c>
      <c r="J73" s="58">
        <f t="shared" si="7"/>
        <v>0.61764705882352933</v>
      </c>
      <c r="K73" s="29">
        <f t="shared" si="8"/>
        <v>18.095238095238098</v>
      </c>
      <c r="L73" s="29">
        <v>1.6</v>
      </c>
      <c r="M73" s="29">
        <v>5.0999999999999996</v>
      </c>
      <c r="N73" s="24"/>
      <c r="O73" s="108" t="s">
        <v>335</v>
      </c>
    </row>
    <row r="74" spans="1:15">
      <c r="A74" s="27" t="s">
        <v>341</v>
      </c>
      <c r="B74" s="23"/>
      <c r="C74" s="23">
        <v>81</v>
      </c>
      <c r="D74" s="23">
        <v>64</v>
      </c>
      <c r="E74" s="23"/>
      <c r="F74" s="23"/>
      <c r="G74" s="29">
        <v>3.2</v>
      </c>
      <c r="H74" s="29">
        <v>1.6</v>
      </c>
      <c r="I74" s="29">
        <v>1.6</v>
      </c>
      <c r="J74" s="58">
        <f t="shared" si="7"/>
        <v>0.5</v>
      </c>
      <c r="K74" s="29">
        <f t="shared" si="8"/>
        <v>20</v>
      </c>
      <c r="L74" s="29">
        <v>1.4</v>
      </c>
      <c r="M74" s="29">
        <v>5.6</v>
      </c>
      <c r="N74" s="24"/>
      <c r="O74" s="108" t="s">
        <v>335</v>
      </c>
    </row>
    <row r="75" spans="1:15">
      <c r="A75" s="27" t="s">
        <v>341</v>
      </c>
      <c r="B75" s="23"/>
      <c r="C75" s="23">
        <v>89</v>
      </c>
      <c r="D75" s="23">
        <v>71</v>
      </c>
      <c r="E75" s="23"/>
      <c r="F75" s="23"/>
      <c r="G75" s="29">
        <v>3.4</v>
      </c>
      <c r="H75" s="29">
        <v>1.6</v>
      </c>
      <c r="I75" s="29">
        <v>1.7</v>
      </c>
      <c r="J75" s="58">
        <f t="shared" si="7"/>
        <v>0.5</v>
      </c>
      <c r="K75" s="29">
        <f t="shared" si="8"/>
        <v>20.882352941176471</v>
      </c>
      <c r="L75" s="29">
        <v>1.6</v>
      </c>
      <c r="M75" s="29">
        <v>5.5</v>
      </c>
      <c r="N75" s="24"/>
      <c r="O75" s="108" t="s">
        <v>335</v>
      </c>
    </row>
    <row r="76" spans="1:15">
      <c r="A76" s="27" t="s">
        <v>341</v>
      </c>
      <c r="B76" s="23"/>
      <c r="C76" s="23">
        <v>93</v>
      </c>
      <c r="D76" s="23">
        <v>68</v>
      </c>
      <c r="E76" s="23"/>
      <c r="F76" s="23"/>
      <c r="G76" s="29">
        <v>3.6</v>
      </c>
      <c r="H76" s="29">
        <v>1.3</v>
      </c>
      <c r="I76" s="29">
        <v>2.2000000000000002</v>
      </c>
      <c r="J76" s="58">
        <f t="shared" si="7"/>
        <v>0.61111111111111116</v>
      </c>
      <c r="K76" s="29">
        <f t="shared" si="8"/>
        <v>15.454545454545453</v>
      </c>
      <c r="L76" s="29">
        <v>1.8</v>
      </c>
      <c r="M76" s="29">
        <v>5.5</v>
      </c>
      <c r="N76" s="24"/>
      <c r="O76" s="108" t="s">
        <v>335</v>
      </c>
    </row>
    <row r="77" spans="1:15">
      <c r="A77" s="27" t="s">
        <v>341</v>
      </c>
      <c r="B77" s="23"/>
      <c r="C77" s="23">
        <v>94</v>
      </c>
      <c r="D77" s="23">
        <v>71</v>
      </c>
      <c r="E77" s="23"/>
      <c r="F77" s="23"/>
      <c r="G77" s="29">
        <v>3</v>
      </c>
      <c r="H77" s="29">
        <v>1.3</v>
      </c>
      <c r="I77" s="29">
        <v>1.7</v>
      </c>
      <c r="J77" s="58">
        <f t="shared" si="7"/>
        <v>0.56666666666666665</v>
      </c>
      <c r="K77" s="29">
        <f t="shared" si="8"/>
        <v>20.882352941176471</v>
      </c>
      <c r="L77" s="29">
        <v>1.6</v>
      </c>
      <c r="M77" s="29">
        <v>4.8</v>
      </c>
      <c r="N77" s="24"/>
      <c r="O77" s="108" t="s">
        <v>335</v>
      </c>
    </row>
    <row r="78" spans="1:15">
      <c r="A78" s="27" t="s">
        <v>341</v>
      </c>
      <c r="B78" s="23"/>
      <c r="C78" s="23">
        <v>45</v>
      </c>
      <c r="D78" s="23">
        <v>18</v>
      </c>
      <c r="E78" s="23"/>
      <c r="F78" s="23"/>
      <c r="G78" s="29">
        <v>1.5</v>
      </c>
      <c r="H78" s="29">
        <v>0.9</v>
      </c>
      <c r="I78" s="29">
        <v>0.6</v>
      </c>
      <c r="J78" s="58">
        <f t="shared" si="7"/>
        <v>0.39999999999999997</v>
      </c>
      <c r="K78" s="29">
        <f t="shared" si="8"/>
        <v>15</v>
      </c>
      <c r="L78" s="29">
        <v>0.2</v>
      </c>
      <c r="M78" s="29">
        <v>3.3</v>
      </c>
      <c r="N78" s="24"/>
      <c r="O78" s="108" t="s">
        <v>335</v>
      </c>
    </row>
    <row r="79" spans="1:15">
      <c r="A79" s="27" t="s">
        <v>341</v>
      </c>
      <c r="B79" s="23"/>
      <c r="C79" s="23">
        <v>45</v>
      </c>
      <c r="D79" s="23">
        <v>18</v>
      </c>
      <c r="E79" s="23"/>
      <c r="F79" s="23"/>
      <c r="G79" s="29">
        <v>1.5</v>
      </c>
      <c r="H79" s="29">
        <v>0.9</v>
      </c>
      <c r="I79" s="29">
        <v>0.6</v>
      </c>
      <c r="J79" s="58">
        <f t="shared" si="7"/>
        <v>0.39999999999999997</v>
      </c>
      <c r="K79" s="29">
        <f t="shared" si="8"/>
        <v>15</v>
      </c>
      <c r="L79" s="29">
        <v>0.2</v>
      </c>
      <c r="M79" s="29">
        <v>3.3</v>
      </c>
      <c r="N79" s="24"/>
      <c r="O79" s="108" t="s">
        <v>335</v>
      </c>
    </row>
    <row r="80" spans="1:15">
      <c r="A80" s="27" t="s">
        <v>341</v>
      </c>
      <c r="B80" s="23"/>
      <c r="C80" s="23">
        <v>81</v>
      </c>
      <c r="D80" s="23">
        <v>59</v>
      </c>
      <c r="E80" s="23"/>
      <c r="F80" s="23"/>
      <c r="G80" s="29">
        <v>3.3</v>
      </c>
      <c r="H80" s="29">
        <v>1.4</v>
      </c>
      <c r="I80" s="29">
        <v>2</v>
      </c>
      <c r="J80" s="58">
        <f t="shared" si="7"/>
        <v>0.60606060606060608</v>
      </c>
      <c r="K80" s="29">
        <f t="shared" si="8"/>
        <v>14.75</v>
      </c>
      <c r="L80" s="29">
        <v>1.7</v>
      </c>
      <c r="M80" s="29">
        <v>6.1</v>
      </c>
      <c r="N80" s="24"/>
      <c r="O80" s="108" t="s">
        <v>335</v>
      </c>
    </row>
    <row r="81" spans="1:15">
      <c r="A81" s="27" t="s">
        <v>341</v>
      </c>
      <c r="B81" s="23"/>
      <c r="C81" s="23">
        <v>81</v>
      </c>
      <c r="D81" s="23">
        <v>59</v>
      </c>
      <c r="E81" s="23"/>
      <c r="F81" s="23"/>
      <c r="G81" s="29">
        <v>3.3</v>
      </c>
      <c r="H81" s="29">
        <v>1.4</v>
      </c>
      <c r="I81" s="29">
        <v>2</v>
      </c>
      <c r="J81" s="58">
        <f t="shared" si="7"/>
        <v>0.60606060606060608</v>
      </c>
      <c r="K81" s="29">
        <f t="shared" si="8"/>
        <v>14.75</v>
      </c>
      <c r="L81" s="29">
        <v>1.7</v>
      </c>
      <c r="M81" s="29">
        <v>6.1</v>
      </c>
      <c r="N81" s="24"/>
      <c r="O81" s="108" t="s">
        <v>335</v>
      </c>
    </row>
    <row r="82" spans="1:15">
      <c r="A82" s="27" t="s">
        <v>341</v>
      </c>
      <c r="B82" s="23"/>
      <c r="C82" s="23">
        <v>80</v>
      </c>
      <c r="D82" s="23">
        <v>63</v>
      </c>
      <c r="E82" s="23"/>
      <c r="F82" s="23"/>
      <c r="G82" s="29">
        <v>3</v>
      </c>
      <c r="H82" s="29">
        <v>1.4</v>
      </c>
      <c r="I82" s="29">
        <v>1.6</v>
      </c>
      <c r="J82" s="58">
        <f t="shared" si="7"/>
        <v>0.53333333333333333</v>
      </c>
      <c r="K82" s="29">
        <f t="shared" si="8"/>
        <v>19.6875</v>
      </c>
      <c r="L82" s="29">
        <v>1.6</v>
      </c>
      <c r="M82" s="29">
        <v>4.3</v>
      </c>
      <c r="N82" s="24"/>
      <c r="O82" s="108" t="s">
        <v>335</v>
      </c>
    </row>
    <row r="83" spans="1:15">
      <c r="A83" s="27" t="s">
        <v>341</v>
      </c>
      <c r="B83" s="23"/>
      <c r="C83" s="23">
        <v>82</v>
      </c>
      <c r="D83" s="23">
        <v>58</v>
      </c>
      <c r="E83" s="23"/>
      <c r="F83" s="23"/>
      <c r="G83" s="29">
        <v>3.3</v>
      </c>
      <c r="H83" s="29"/>
      <c r="I83" s="29"/>
      <c r="J83" s="58"/>
      <c r="K83" s="29"/>
      <c r="L83" s="29">
        <v>1.3</v>
      </c>
      <c r="M83" s="29">
        <v>5.8</v>
      </c>
      <c r="N83" s="24"/>
      <c r="O83" s="109" t="s">
        <v>334</v>
      </c>
    </row>
    <row r="84" spans="1:15">
      <c r="A84" s="27" t="s">
        <v>341</v>
      </c>
      <c r="B84" s="23"/>
      <c r="C84" s="23">
        <v>43</v>
      </c>
      <c r="D84" s="23">
        <v>31</v>
      </c>
      <c r="E84" s="23"/>
      <c r="F84" s="23"/>
      <c r="G84" s="29">
        <v>1.6</v>
      </c>
      <c r="H84" s="29">
        <v>0.5</v>
      </c>
      <c r="I84" s="29">
        <v>1.1000000000000001</v>
      </c>
      <c r="J84" s="58">
        <f t="shared" si="7"/>
        <v>0.6875</v>
      </c>
      <c r="K84" s="29">
        <f t="shared" si="8"/>
        <v>14.09090909090909</v>
      </c>
      <c r="L84" s="29">
        <v>0.7</v>
      </c>
      <c r="M84" s="29">
        <v>3.6</v>
      </c>
      <c r="N84" s="24"/>
      <c r="O84" s="108" t="s">
        <v>335</v>
      </c>
    </row>
    <row r="85" spans="1:15">
      <c r="A85" s="27" t="s">
        <v>341</v>
      </c>
      <c r="B85" s="23"/>
      <c r="C85" s="23">
        <v>81</v>
      </c>
      <c r="D85" s="23">
        <v>47</v>
      </c>
      <c r="E85" s="23"/>
      <c r="F85" s="23"/>
      <c r="G85" s="29">
        <v>3.8</v>
      </c>
      <c r="H85" s="29">
        <v>2.2999999999999998</v>
      </c>
      <c r="I85" s="29">
        <v>1.5</v>
      </c>
      <c r="J85" s="58">
        <f t="shared" si="7"/>
        <v>0.39473684210526316</v>
      </c>
      <c r="K85" s="29">
        <f t="shared" si="8"/>
        <v>15.666666666666666</v>
      </c>
      <c r="L85" s="29">
        <v>2.7</v>
      </c>
      <c r="M85" s="29">
        <v>7.3</v>
      </c>
      <c r="N85" s="24"/>
      <c r="O85" s="108" t="s">
        <v>335</v>
      </c>
    </row>
    <row r="86" spans="1:15">
      <c r="A86" s="27" t="s">
        <v>341</v>
      </c>
      <c r="B86" s="23"/>
      <c r="C86" s="23">
        <v>68</v>
      </c>
      <c r="D86" s="23">
        <v>50</v>
      </c>
      <c r="E86" s="23"/>
      <c r="F86" s="23"/>
      <c r="G86" s="29">
        <v>4.0999999999999996</v>
      </c>
      <c r="H86" s="29">
        <v>2.2999999999999998</v>
      </c>
      <c r="I86" s="29">
        <v>1.8</v>
      </c>
      <c r="J86" s="58">
        <f t="shared" si="7"/>
        <v>0.4390243902439025</v>
      </c>
      <c r="K86" s="29">
        <f t="shared" si="8"/>
        <v>13.888888888888889</v>
      </c>
      <c r="L86" s="29">
        <v>0.9</v>
      </c>
      <c r="M86" s="29">
        <v>6.9</v>
      </c>
      <c r="N86" s="24"/>
      <c r="O86" s="108" t="s">
        <v>335</v>
      </c>
    </row>
    <row r="87" spans="1:15">
      <c r="A87" s="27" t="s">
        <v>341</v>
      </c>
      <c r="B87" s="23"/>
      <c r="C87" s="23">
        <v>95</v>
      </c>
      <c r="D87" s="23">
        <v>71</v>
      </c>
      <c r="E87" s="23"/>
      <c r="F87" s="23"/>
      <c r="G87" s="29">
        <v>4.4000000000000004</v>
      </c>
      <c r="H87" s="29">
        <v>2.2000000000000002</v>
      </c>
      <c r="I87" s="29">
        <v>2.2000000000000002</v>
      </c>
      <c r="J87" s="58">
        <f t="shared" si="7"/>
        <v>0.5</v>
      </c>
      <c r="K87" s="29">
        <f t="shared" si="8"/>
        <v>16.136363636363637</v>
      </c>
      <c r="L87" s="29">
        <v>1.4</v>
      </c>
      <c r="M87" s="29">
        <v>6.9</v>
      </c>
      <c r="N87" s="24"/>
      <c r="O87" s="108" t="s">
        <v>335</v>
      </c>
    </row>
    <row r="88" spans="1:15">
      <c r="A88" s="27" t="s">
        <v>341</v>
      </c>
      <c r="B88" s="23"/>
      <c r="C88" s="23">
        <v>86</v>
      </c>
      <c r="D88" s="23">
        <v>68</v>
      </c>
      <c r="E88" s="23"/>
      <c r="F88" s="23"/>
      <c r="G88" s="29">
        <v>2.8</v>
      </c>
      <c r="H88" s="29">
        <v>1.2</v>
      </c>
      <c r="I88" s="29">
        <v>1.6</v>
      </c>
      <c r="J88" s="58">
        <f t="shared" si="7"/>
        <v>0.57142857142857151</v>
      </c>
      <c r="K88" s="29">
        <f t="shared" si="8"/>
        <v>21.25</v>
      </c>
      <c r="L88" s="29">
        <v>1.3</v>
      </c>
      <c r="M88" s="29">
        <v>4.5</v>
      </c>
      <c r="N88" s="24"/>
      <c r="O88" s="108" t="s">
        <v>335</v>
      </c>
    </row>
    <row r="89" spans="1:15">
      <c r="A89" s="27" t="s">
        <v>341</v>
      </c>
      <c r="B89" s="23"/>
      <c r="C89" s="23">
        <v>74</v>
      </c>
      <c r="D89" s="23">
        <v>56</v>
      </c>
      <c r="E89" s="23"/>
      <c r="F89" s="23"/>
      <c r="G89" s="29">
        <v>3.3</v>
      </c>
      <c r="H89" s="29">
        <v>1.5</v>
      </c>
      <c r="I89" s="29">
        <v>1.8</v>
      </c>
      <c r="J89" s="58">
        <f t="shared" si="7"/>
        <v>0.54545454545454553</v>
      </c>
      <c r="K89" s="29">
        <f t="shared" si="8"/>
        <v>15.555555555555555</v>
      </c>
      <c r="L89" s="29">
        <v>1.4</v>
      </c>
      <c r="M89" s="29">
        <v>5.2</v>
      </c>
      <c r="N89" s="24"/>
      <c r="O89" s="108" t="s">
        <v>335</v>
      </c>
    </row>
    <row r="90" spans="1:15">
      <c r="A90" s="27" t="s">
        <v>341</v>
      </c>
      <c r="B90" s="23"/>
      <c r="C90" s="23">
        <v>43</v>
      </c>
      <c r="D90" s="23">
        <v>29</v>
      </c>
      <c r="E90" s="23"/>
      <c r="F90" s="23"/>
      <c r="G90" s="29">
        <v>2.4</v>
      </c>
      <c r="H90" s="29">
        <v>1.3</v>
      </c>
      <c r="I90" s="29">
        <v>1</v>
      </c>
      <c r="J90" s="58">
        <f t="shared" si="7"/>
        <v>0.41666666666666669</v>
      </c>
      <c r="K90" s="29">
        <f t="shared" si="8"/>
        <v>14.5</v>
      </c>
      <c r="L90" s="29">
        <v>0.7</v>
      </c>
      <c r="M90" s="29">
        <v>5</v>
      </c>
      <c r="N90" s="24"/>
      <c r="O90" s="108" t="s">
        <v>335</v>
      </c>
    </row>
    <row r="91" spans="1:15">
      <c r="A91" s="27" t="s">
        <v>341</v>
      </c>
      <c r="B91" s="23"/>
      <c r="C91" s="23">
        <v>73</v>
      </c>
      <c r="D91" s="23">
        <v>54</v>
      </c>
      <c r="E91" s="23"/>
      <c r="F91" s="23"/>
      <c r="G91" s="29">
        <v>3.4</v>
      </c>
      <c r="H91" s="29">
        <v>1.5</v>
      </c>
      <c r="I91" s="29">
        <v>1.9</v>
      </c>
      <c r="J91" s="58">
        <f t="shared" si="7"/>
        <v>0.55882352941176472</v>
      </c>
      <c r="K91" s="29">
        <f t="shared" si="8"/>
        <v>14.210526315789474</v>
      </c>
      <c r="L91" s="29">
        <v>1.2</v>
      </c>
      <c r="M91" s="29">
        <v>5.0999999999999996</v>
      </c>
      <c r="N91" s="24"/>
      <c r="O91" s="108" t="s">
        <v>335</v>
      </c>
    </row>
    <row r="92" spans="1:15">
      <c r="A92" s="27" t="s">
        <v>341</v>
      </c>
      <c r="B92" s="23"/>
      <c r="C92" s="23">
        <v>75</v>
      </c>
      <c r="D92" s="23">
        <v>56</v>
      </c>
      <c r="E92" s="23"/>
      <c r="F92" s="23"/>
      <c r="G92" s="29">
        <v>3.3</v>
      </c>
      <c r="H92" s="29">
        <v>1.5</v>
      </c>
      <c r="I92" s="29">
        <v>1.9</v>
      </c>
      <c r="J92" s="58">
        <f t="shared" si="7"/>
        <v>0.5757575757575758</v>
      </c>
      <c r="K92" s="29">
        <f t="shared" si="8"/>
        <v>14.736842105263159</v>
      </c>
      <c r="L92" s="29">
        <v>1.1000000000000001</v>
      </c>
      <c r="M92" s="29">
        <v>5.4</v>
      </c>
      <c r="N92" s="24"/>
      <c r="O92" s="108" t="s">
        <v>335</v>
      </c>
    </row>
    <row r="93" spans="1:15">
      <c r="A93" s="27" t="s">
        <v>341</v>
      </c>
      <c r="B93" s="23"/>
      <c r="C93" s="23">
        <v>92</v>
      </c>
      <c r="D93" s="23">
        <v>64</v>
      </c>
      <c r="E93" s="23"/>
      <c r="F93" s="23"/>
      <c r="G93" s="29">
        <v>3.7</v>
      </c>
      <c r="H93" s="29">
        <v>1.6</v>
      </c>
      <c r="I93" s="29">
        <v>2.1</v>
      </c>
      <c r="J93" s="58">
        <f t="shared" si="7"/>
        <v>0.56756756756756754</v>
      </c>
      <c r="K93" s="29">
        <f t="shared" si="8"/>
        <v>15.238095238095237</v>
      </c>
      <c r="L93" s="29">
        <v>1.6</v>
      </c>
      <c r="M93" s="29">
        <v>5.8</v>
      </c>
      <c r="N93" s="24"/>
      <c r="O93" s="108" t="s">
        <v>335</v>
      </c>
    </row>
    <row r="94" spans="1:15">
      <c r="A94" s="27" t="s">
        <v>341</v>
      </c>
      <c r="B94" s="23"/>
      <c r="C94" s="23">
        <v>96</v>
      </c>
      <c r="D94" s="23">
        <v>71</v>
      </c>
      <c r="E94" s="23"/>
      <c r="F94" s="23"/>
      <c r="G94" s="29">
        <v>4.3</v>
      </c>
      <c r="H94" s="29">
        <v>2.4</v>
      </c>
      <c r="I94" s="29">
        <v>1.9</v>
      </c>
      <c r="J94" s="58">
        <f t="shared" si="7"/>
        <v>0.44186046511627908</v>
      </c>
      <c r="K94" s="29">
        <f t="shared" si="8"/>
        <v>18.684210526315791</v>
      </c>
      <c r="L94" s="29">
        <v>1.4</v>
      </c>
      <c r="M94" s="29">
        <v>6.9</v>
      </c>
      <c r="N94" s="24"/>
      <c r="O94" s="108" t="s">
        <v>335</v>
      </c>
    </row>
    <row r="95" spans="1:15">
      <c r="A95" s="27" t="s">
        <v>341</v>
      </c>
      <c r="B95" s="23"/>
      <c r="C95" s="23">
        <v>77</v>
      </c>
      <c r="D95" s="23">
        <v>58</v>
      </c>
      <c r="E95" s="23"/>
      <c r="F95" s="23"/>
      <c r="G95" s="29">
        <v>3.7</v>
      </c>
      <c r="H95" s="29">
        <v>2.1</v>
      </c>
      <c r="I95" s="29">
        <v>1.6</v>
      </c>
      <c r="J95" s="58">
        <f t="shared" si="7"/>
        <v>0.43243243243243246</v>
      </c>
      <c r="K95" s="29">
        <f t="shared" si="8"/>
        <v>18.125</v>
      </c>
      <c r="L95" s="29">
        <v>1.1000000000000001</v>
      </c>
      <c r="M95" s="29">
        <v>6.1</v>
      </c>
      <c r="N95" s="24"/>
      <c r="O95" s="108" t="s">
        <v>335</v>
      </c>
    </row>
    <row r="96" spans="1:15">
      <c r="A96" s="27" t="s">
        <v>341</v>
      </c>
      <c r="B96" s="23"/>
      <c r="C96" s="23">
        <v>86</v>
      </c>
      <c r="D96" s="23">
        <v>58</v>
      </c>
      <c r="E96" s="23"/>
      <c r="F96" s="23"/>
      <c r="G96" s="29">
        <v>4.2</v>
      </c>
      <c r="H96" s="29">
        <v>2.2999999999999998</v>
      </c>
      <c r="I96" s="29">
        <v>2</v>
      </c>
      <c r="J96" s="58">
        <f t="shared" si="7"/>
        <v>0.47619047619047616</v>
      </c>
      <c r="K96" s="29">
        <f t="shared" si="8"/>
        <v>14.5</v>
      </c>
      <c r="L96" s="29">
        <v>1.5</v>
      </c>
      <c r="M96" s="29">
        <v>7.1</v>
      </c>
      <c r="N96" s="24"/>
      <c r="O96" s="108" t="s">
        <v>335</v>
      </c>
    </row>
    <row r="97" spans="1:15">
      <c r="A97" s="27" t="s">
        <v>341</v>
      </c>
      <c r="B97" s="23"/>
      <c r="C97" s="23">
        <v>91</v>
      </c>
      <c r="D97" s="23">
        <v>60</v>
      </c>
      <c r="E97" s="23"/>
      <c r="F97" s="23"/>
      <c r="G97" s="29">
        <v>4.3</v>
      </c>
      <c r="H97" s="29">
        <v>2.2999999999999998</v>
      </c>
      <c r="I97" s="29">
        <v>2</v>
      </c>
      <c r="J97" s="58">
        <f t="shared" si="7"/>
        <v>0.46511627906976744</v>
      </c>
      <c r="K97" s="29">
        <f t="shared" si="8"/>
        <v>15</v>
      </c>
      <c r="L97" s="29">
        <v>2.1</v>
      </c>
      <c r="M97" s="29">
        <v>6.7</v>
      </c>
      <c r="N97" s="24"/>
      <c r="O97" s="108" t="s">
        <v>335</v>
      </c>
    </row>
    <row r="98" spans="1:15">
      <c r="A98" s="27" t="s">
        <v>341</v>
      </c>
      <c r="B98" s="23"/>
      <c r="C98" s="23">
        <v>77</v>
      </c>
      <c r="D98" s="23">
        <v>54</v>
      </c>
      <c r="E98" s="23"/>
      <c r="F98" s="23"/>
      <c r="G98" s="29">
        <v>3.4</v>
      </c>
      <c r="H98" s="29">
        <v>1.6</v>
      </c>
      <c r="I98" s="29">
        <v>1.8</v>
      </c>
      <c r="J98" s="58">
        <f t="shared" si="7"/>
        <v>0.52941176470588236</v>
      </c>
      <c r="K98" s="29">
        <f t="shared" si="8"/>
        <v>15</v>
      </c>
      <c r="L98" s="29">
        <v>1.4</v>
      </c>
      <c r="M98" s="29">
        <v>6</v>
      </c>
      <c r="N98" s="24"/>
      <c r="O98" s="108" t="s">
        <v>335</v>
      </c>
    </row>
    <row r="99" spans="1:15">
      <c r="A99" s="27" t="s">
        <v>341</v>
      </c>
      <c r="B99" s="23"/>
      <c r="C99" s="23">
        <v>94</v>
      </c>
      <c r="D99" s="23">
        <v>73</v>
      </c>
      <c r="E99" s="23"/>
      <c r="F99" s="23"/>
      <c r="G99" s="29">
        <v>3.8</v>
      </c>
      <c r="H99" s="29">
        <v>1.8</v>
      </c>
      <c r="I99" s="29">
        <v>2</v>
      </c>
      <c r="J99" s="58">
        <f t="shared" si="7"/>
        <v>0.52631578947368418</v>
      </c>
      <c r="K99" s="29">
        <f t="shared" si="8"/>
        <v>18.25</v>
      </c>
      <c r="L99" s="29">
        <v>1.6</v>
      </c>
      <c r="M99" s="29">
        <v>7.1</v>
      </c>
      <c r="N99" s="24"/>
      <c r="O99" s="108" t="s">
        <v>335</v>
      </c>
    </row>
    <row r="100" spans="1:15">
      <c r="A100" s="27" t="s">
        <v>341</v>
      </c>
      <c r="B100" s="23"/>
      <c r="C100" s="23">
        <v>63</v>
      </c>
      <c r="D100" s="23">
        <v>47</v>
      </c>
      <c r="E100" s="23"/>
      <c r="F100" s="23"/>
      <c r="G100" s="29">
        <v>3.1</v>
      </c>
      <c r="H100" s="29">
        <v>1.7</v>
      </c>
      <c r="I100" s="29">
        <v>1.4</v>
      </c>
      <c r="J100" s="58">
        <f t="shared" si="7"/>
        <v>0.45161290322580638</v>
      </c>
      <c r="K100" s="29">
        <f t="shared" si="8"/>
        <v>16.785714285714288</v>
      </c>
      <c r="L100" s="29">
        <v>1.1000000000000001</v>
      </c>
      <c r="M100" s="29">
        <v>6.2</v>
      </c>
      <c r="N100" s="24"/>
      <c r="O100" s="108" t="s">
        <v>335</v>
      </c>
    </row>
    <row r="101" spans="1:15">
      <c r="A101" s="27" t="s">
        <v>341</v>
      </c>
      <c r="B101" s="23"/>
      <c r="C101" s="23">
        <v>49</v>
      </c>
      <c r="D101" s="23">
        <v>32</v>
      </c>
      <c r="E101" s="23"/>
      <c r="F101" s="23"/>
      <c r="G101" s="29">
        <v>3</v>
      </c>
      <c r="H101" s="29">
        <v>2.1</v>
      </c>
      <c r="I101" s="29">
        <v>0.9</v>
      </c>
      <c r="J101" s="58">
        <f t="shared" si="7"/>
        <v>0.3</v>
      </c>
      <c r="K101" s="29">
        <f t="shared" si="8"/>
        <v>17.777777777777779</v>
      </c>
      <c r="L101" s="29">
        <v>0.7</v>
      </c>
      <c r="M101" s="29">
        <v>7.4</v>
      </c>
      <c r="N101" s="24"/>
      <c r="O101" s="108" t="s">
        <v>335</v>
      </c>
    </row>
    <row r="102" spans="1:15">
      <c r="A102" s="27" t="s">
        <v>341</v>
      </c>
      <c r="B102" s="23"/>
      <c r="C102" s="23">
        <v>59</v>
      </c>
      <c r="D102" s="23">
        <v>39</v>
      </c>
      <c r="E102" s="23"/>
      <c r="F102" s="23"/>
      <c r="G102" s="29">
        <v>3.6</v>
      </c>
      <c r="H102" s="29">
        <v>2.1</v>
      </c>
      <c r="I102" s="29">
        <v>1.5</v>
      </c>
      <c r="J102" s="58">
        <f t="shared" si="7"/>
        <v>0.41666666666666663</v>
      </c>
      <c r="K102" s="29">
        <f t="shared" si="8"/>
        <v>13</v>
      </c>
      <c r="L102" s="29">
        <v>1.1000000000000001</v>
      </c>
      <c r="M102" s="29">
        <v>7.4</v>
      </c>
      <c r="N102" s="24"/>
      <c r="O102" s="108" t="s">
        <v>335</v>
      </c>
    </row>
    <row r="103" spans="1:15">
      <c r="A103" s="27" t="s">
        <v>341</v>
      </c>
      <c r="B103" s="23"/>
      <c r="C103" s="23">
        <v>94</v>
      </c>
      <c r="D103" s="23">
        <v>73</v>
      </c>
      <c r="E103" s="23"/>
      <c r="F103" s="23"/>
      <c r="G103" s="29">
        <v>3.3</v>
      </c>
      <c r="H103" s="29">
        <v>1.3</v>
      </c>
      <c r="I103" s="29">
        <v>2</v>
      </c>
      <c r="J103" s="58">
        <f t="shared" si="7"/>
        <v>0.60606060606060608</v>
      </c>
      <c r="K103" s="29">
        <f t="shared" si="8"/>
        <v>18.25</v>
      </c>
      <c r="L103" s="29">
        <v>1.6</v>
      </c>
      <c r="M103" s="29">
        <v>5.3</v>
      </c>
      <c r="N103" s="24"/>
      <c r="O103" s="108" t="s">
        <v>335</v>
      </c>
    </row>
    <row r="104" spans="1:15">
      <c r="A104" s="27" t="s">
        <v>341</v>
      </c>
      <c r="B104" s="23"/>
      <c r="C104" s="23">
        <v>46</v>
      </c>
      <c r="D104" s="23">
        <v>29</v>
      </c>
      <c r="E104" s="23"/>
      <c r="F104" s="23"/>
      <c r="G104" s="29">
        <v>3.3</v>
      </c>
      <c r="H104" s="29">
        <v>2.2999999999999998</v>
      </c>
      <c r="I104" s="29">
        <v>1.1000000000000001</v>
      </c>
      <c r="J104" s="58">
        <f t="shared" si="7"/>
        <v>0.33333333333333337</v>
      </c>
      <c r="K104" s="29">
        <f t="shared" si="8"/>
        <v>13.18181818181818</v>
      </c>
      <c r="L104" s="29">
        <v>1</v>
      </c>
      <c r="M104" s="29">
        <v>7.6</v>
      </c>
      <c r="N104" s="24"/>
      <c r="O104" s="108" t="s">
        <v>335</v>
      </c>
    </row>
    <row r="105" spans="1:15">
      <c r="A105" s="27" t="s">
        <v>341</v>
      </c>
      <c r="B105" s="23"/>
      <c r="C105" s="23">
        <v>73</v>
      </c>
      <c r="D105" s="23">
        <v>54</v>
      </c>
      <c r="E105" s="23"/>
      <c r="F105" s="23"/>
      <c r="G105" s="29">
        <v>3.1</v>
      </c>
      <c r="H105" s="29">
        <v>1.7</v>
      </c>
      <c r="I105" s="29">
        <v>1.5</v>
      </c>
      <c r="J105" s="58">
        <f t="shared" si="7"/>
        <v>0.48387096774193544</v>
      </c>
      <c r="K105" s="29">
        <f t="shared" si="8"/>
        <v>18</v>
      </c>
      <c r="L105" s="29">
        <v>1</v>
      </c>
      <c r="M105" s="29">
        <v>5.8</v>
      </c>
      <c r="N105" s="24"/>
      <c r="O105" s="108" t="s">
        <v>335</v>
      </c>
    </row>
    <row r="106" spans="1:15">
      <c r="A106" s="27" t="s">
        <v>341</v>
      </c>
      <c r="B106" s="23"/>
      <c r="C106" s="23">
        <v>81</v>
      </c>
      <c r="D106" s="23">
        <v>62</v>
      </c>
      <c r="E106" s="23"/>
      <c r="F106" s="23"/>
      <c r="G106" s="29">
        <v>3.4</v>
      </c>
      <c r="H106" s="29">
        <v>1.7</v>
      </c>
      <c r="I106" s="29">
        <v>1.7</v>
      </c>
      <c r="J106" s="58">
        <f t="shared" si="7"/>
        <v>0.5</v>
      </c>
      <c r="K106" s="29">
        <f t="shared" si="8"/>
        <v>18.235294117647058</v>
      </c>
      <c r="L106" s="29">
        <v>1.3</v>
      </c>
      <c r="M106" s="29">
        <v>6.7</v>
      </c>
      <c r="N106" s="24"/>
      <c r="O106" s="108" t="s">
        <v>335</v>
      </c>
    </row>
    <row r="107" spans="1:15">
      <c r="A107" s="27" t="s">
        <v>341</v>
      </c>
      <c r="B107" s="23"/>
      <c r="C107" s="23">
        <v>65</v>
      </c>
      <c r="D107" s="23">
        <v>50</v>
      </c>
      <c r="E107" s="23"/>
      <c r="F107" s="23"/>
      <c r="G107" s="29">
        <v>3</v>
      </c>
      <c r="H107" s="29">
        <v>1.6</v>
      </c>
      <c r="I107" s="29">
        <v>1.4</v>
      </c>
      <c r="J107" s="58">
        <f t="shared" si="7"/>
        <v>0.46666666666666662</v>
      </c>
      <c r="K107" s="29">
        <f t="shared" si="8"/>
        <v>17.857142857142858</v>
      </c>
      <c r="L107" s="29">
        <v>1.1000000000000001</v>
      </c>
      <c r="M107" s="29">
        <v>5.7</v>
      </c>
      <c r="N107" s="24"/>
      <c r="O107" s="108" t="s">
        <v>335</v>
      </c>
    </row>
    <row r="108" spans="1:15">
      <c r="A108" s="27" t="s">
        <v>341</v>
      </c>
      <c r="B108" s="23"/>
      <c r="C108" s="23">
        <v>69</v>
      </c>
      <c r="D108" s="23">
        <v>52</v>
      </c>
      <c r="E108" s="23"/>
      <c r="F108" s="23"/>
      <c r="G108" s="29">
        <v>2.6</v>
      </c>
      <c r="H108" s="29">
        <v>1.1000000000000001</v>
      </c>
      <c r="I108" s="29">
        <v>1.5</v>
      </c>
      <c r="J108" s="58">
        <f t="shared" si="7"/>
        <v>0.57692307692307687</v>
      </c>
      <c r="K108" s="29">
        <f t="shared" si="8"/>
        <v>17.333333333333332</v>
      </c>
      <c r="L108" s="29">
        <v>1.2</v>
      </c>
      <c r="M108" s="29">
        <v>4.8</v>
      </c>
      <c r="N108" s="24"/>
      <c r="O108" s="108" t="s">
        <v>335</v>
      </c>
    </row>
    <row r="109" spans="1:15">
      <c r="A109" s="27" t="s">
        <v>341</v>
      </c>
      <c r="B109" s="23"/>
      <c r="C109" s="23">
        <v>106</v>
      </c>
      <c r="D109" s="23">
        <v>78</v>
      </c>
      <c r="E109" s="23"/>
      <c r="F109" s="23"/>
      <c r="G109" s="29">
        <v>4.5</v>
      </c>
      <c r="H109" s="29">
        <v>1.8</v>
      </c>
      <c r="I109" s="29">
        <v>2.7</v>
      </c>
      <c r="J109" s="58">
        <f t="shared" si="7"/>
        <v>0.60000000000000009</v>
      </c>
      <c r="K109" s="29">
        <f t="shared" si="8"/>
        <v>14.444444444444443</v>
      </c>
      <c r="L109" s="29">
        <v>1.8</v>
      </c>
      <c r="M109" s="29">
        <v>7.9</v>
      </c>
      <c r="N109" s="24"/>
      <c r="O109" s="108" t="s">
        <v>335</v>
      </c>
    </row>
    <row r="110" spans="1:15">
      <c r="A110" s="27" t="s">
        <v>341</v>
      </c>
      <c r="B110" s="23"/>
      <c r="C110" s="23">
        <v>77</v>
      </c>
      <c r="D110" s="23">
        <v>59</v>
      </c>
      <c r="E110" s="23"/>
      <c r="F110" s="23"/>
      <c r="G110" s="29">
        <v>3.1</v>
      </c>
      <c r="H110" s="29">
        <v>1.5</v>
      </c>
      <c r="I110" s="29">
        <v>1.6</v>
      </c>
      <c r="J110" s="58">
        <f t="shared" ref="J110:J137" si="9">I110/G110</f>
        <v>0.5161290322580645</v>
      </c>
      <c r="K110" s="29">
        <f t="shared" ref="K110:K137" si="10">D110*0.5/I110</f>
        <v>18.4375</v>
      </c>
      <c r="L110" s="29">
        <v>1.3</v>
      </c>
      <c r="M110" s="29">
        <v>6.4</v>
      </c>
      <c r="N110" s="24"/>
      <c r="O110" s="108" t="s">
        <v>335</v>
      </c>
    </row>
    <row r="111" spans="1:15">
      <c r="A111" s="27" t="s">
        <v>341</v>
      </c>
      <c r="B111" s="23"/>
      <c r="C111" s="23">
        <v>58</v>
      </c>
      <c r="D111" s="23">
        <v>44</v>
      </c>
      <c r="E111" s="23"/>
      <c r="F111" s="23"/>
      <c r="G111" s="29">
        <v>2.7</v>
      </c>
      <c r="H111" s="29">
        <v>1.4</v>
      </c>
      <c r="I111" s="29">
        <v>1.3</v>
      </c>
      <c r="J111" s="58">
        <f t="shared" si="9"/>
        <v>0.48148148148148145</v>
      </c>
      <c r="K111" s="29">
        <f t="shared" si="10"/>
        <v>16.923076923076923</v>
      </c>
      <c r="L111" s="29">
        <v>1.1000000000000001</v>
      </c>
      <c r="M111" s="29">
        <v>5.5</v>
      </c>
      <c r="N111" s="24"/>
      <c r="O111" s="108" t="s">
        <v>335</v>
      </c>
    </row>
    <row r="112" spans="1:15">
      <c r="A112" s="27" t="s">
        <v>341</v>
      </c>
      <c r="B112" s="23"/>
      <c r="C112" s="23">
        <v>92</v>
      </c>
      <c r="D112" s="23">
        <v>69</v>
      </c>
      <c r="E112" s="23"/>
      <c r="F112" s="23"/>
      <c r="G112" s="29">
        <v>3.7</v>
      </c>
      <c r="H112" s="29">
        <v>1.8</v>
      </c>
      <c r="I112" s="29">
        <v>1.9</v>
      </c>
      <c r="J112" s="58">
        <f t="shared" si="9"/>
        <v>0.51351351351351349</v>
      </c>
      <c r="K112" s="29">
        <f t="shared" si="10"/>
        <v>18.157894736842106</v>
      </c>
      <c r="L112" s="29">
        <v>1.5</v>
      </c>
      <c r="M112" s="29">
        <v>6.7</v>
      </c>
      <c r="N112" s="24"/>
      <c r="O112" s="108" t="s">
        <v>335</v>
      </c>
    </row>
    <row r="113" spans="1:15">
      <c r="A113" s="27" t="s">
        <v>341</v>
      </c>
      <c r="B113" s="23"/>
      <c r="C113" s="23">
        <v>87</v>
      </c>
      <c r="D113" s="23">
        <v>67</v>
      </c>
      <c r="E113" s="23"/>
      <c r="F113" s="23"/>
      <c r="G113" s="29">
        <v>4.0999999999999996</v>
      </c>
      <c r="H113" s="29">
        <v>2.2000000000000002</v>
      </c>
      <c r="I113" s="29">
        <v>1.9</v>
      </c>
      <c r="J113" s="58">
        <f t="shared" si="9"/>
        <v>0.46341463414634149</v>
      </c>
      <c r="K113" s="29">
        <f t="shared" si="10"/>
        <v>17.631578947368421</v>
      </c>
      <c r="L113" s="29">
        <v>1.7</v>
      </c>
      <c r="M113" s="29">
        <v>6.1</v>
      </c>
      <c r="N113" s="24"/>
      <c r="O113" s="108" t="s">
        <v>335</v>
      </c>
    </row>
    <row r="114" spans="1:15">
      <c r="A114" s="27" t="s">
        <v>341</v>
      </c>
      <c r="B114" s="23"/>
      <c r="C114" s="23">
        <v>39</v>
      </c>
      <c r="D114" s="23">
        <v>2.6</v>
      </c>
      <c r="E114" s="23"/>
      <c r="F114" s="23"/>
      <c r="G114" s="29">
        <v>1.7</v>
      </c>
      <c r="H114" s="29">
        <v>0.6</v>
      </c>
      <c r="I114" s="29">
        <v>1.1000000000000001</v>
      </c>
      <c r="J114" s="58">
        <f t="shared" si="9"/>
        <v>0.6470588235294118</v>
      </c>
      <c r="K114" s="29">
        <f t="shared" si="10"/>
        <v>1.1818181818181817</v>
      </c>
      <c r="L114" s="29">
        <v>0.7</v>
      </c>
      <c r="M114" s="29">
        <v>4.4000000000000004</v>
      </c>
      <c r="N114" s="24"/>
      <c r="O114" s="108" t="s">
        <v>335</v>
      </c>
    </row>
    <row r="115" spans="1:15">
      <c r="A115" s="27" t="s">
        <v>341</v>
      </c>
      <c r="B115" s="23"/>
      <c r="C115" s="23">
        <v>95</v>
      </c>
      <c r="D115" s="23">
        <v>62</v>
      </c>
      <c r="E115" s="23"/>
      <c r="F115" s="23"/>
      <c r="G115" s="29">
        <v>5.2</v>
      </c>
      <c r="H115" s="29"/>
      <c r="I115" s="29"/>
      <c r="J115" s="58"/>
      <c r="K115" s="29"/>
      <c r="L115" s="29">
        <v>1.67</v>
      </c>
      <c r="M115" s="29">
        <v>7.3</v>
      </c>
      <c r="N115" s="24"/>
      <c r="O115" s="109" t="s">
        <v>334</v>
      </c>
    </row>
    <row r="116" spans="1:15">
      <c r="A116" s="27" t="s">
        <v>341</v>
      </c>
      <c r="B116" s="23"/>
      <c r="C116" s="23">
        <v>43</v>
      </c>
      <c r="D116" s="23">
        <v>29</v>
      </c>
      <c r="E116" s="23"/>
      <c r="F116" s="23"/>
      <c r="G116" s="29">
        <v>2.5299999999999998</v>
      </c>
      <c r="H116" s="29">
        <v>1.5</v>
      </c>
      <c r="I116" s="29">
        <v>1</v>
      </c>
      <c r="J116" s="58">
        <f t="shared" si="9"/>
        <v>0.39525691699604748</v>
      </c>
      <c r="K116" s="29">
        <f t="shared" si="10"/>
        <v>14.5</v>
      </c>
      <c r="L116" s="29">
        <v>0.82</v>
      </c>
      <c r="M116" s="29">
        <v>4.5999999999999996</v>
      </c>
      <c r="N116" s="24"/>
      <c r="O116" s="108" t="s">
        <v>335</v>
      </c>
    </row>
    <row r="117" spans="1:15">
      <c r="A117" s="27" t="s">
        <v>341</v>
      </c>
      <c r="B117" s="23"/>
      <c r="C117" s="23">
        <v>74</v>
      </c>
      <c r="D117" s="23">
        <v>51</v>
      </c>
      <c r="E117" s="23"/>
      <c r="F117" s="23"/>
      <c r="G117" s="29">
        <v>4.2300000000000004</v>
      </c>
      <c r="H117" s="29">
        <v>2.2999999999999998</v>
      </c>
      <c r="I117" s="29">
        <v>1.9</v>
      </c>
      <c r="J117" s="58">
        <f t="shared" si="9"/>
        <v>0.44917257683215123</v>
      </c>
      <c r="K117" s="29">
        <f t="shared" si="10"/>
        <v>13.421052631578949</v>
      </c>
      <c r="L117" s="29">
        <v>1.51</v>
      </c>
      <c r="M117" s="29">
        <v>7</v>
      </c>
      <c r="N117" s="24"/>
      <c r="O117" s="108" t="s">
        <v>335</v>
      </c>
    </row>
    <row r="118" spans="1:15">
      <c r="A118" s="27" t="s">
        <v>341</v>
      </c>
      <c r="B118" s="23"/>
      <c r="C118" s="23">
        <v>90</v>
      </c>
      <c r="D118" s="23">
        <v>65</v>
      </c>
      <c r="E118" s="23"/>
      <c r="F118" s="23"/>
      <c r="G118" s="29">
        <v>4.08</v>
      </c>
      <c r="H118" s="29">
        <v>1.7</v>
      </c>
      <c r="I118" s="29">
        <v>2.4</v>
      </c>
      <c r="J118" s="58">
        <f t="shared" si="9"/>
        <v>0.58823529411764708</v>
      </c>
      <c r="K118" s="29">
        <f t="shared" si="10"/>
        <v>13.541666666666668</v>
      </c>
      <c r="L118" s="29">
        <v>1.53</v>
      </c>
      <c r="M118" s="29">
        <v>7.5</v>
      </c>
      <c r="N118" s="24"/>
      <c r="O118" s="108" t="s">
        <v>335</v>
      </c>
    </row>
    <row r="119" spans="1:15">
      <c r="A119" s="27" t="s">
        <v>341</v>
      </c>
      <c r="B119" s="23"/>
      <c r="C119" s="23">
        <v>90</v>
      </c>
      <c r="D119" s="23">
        <v>66</v>
      </c>
      <c r="E119" s="23"/>
      <c r="F119" s="23"/>
      <c r="G119" s="29">
        <v>3.82</v>
      </c>
      <c r="H119" s="29">
        <v>1.6</v>
      </c>
      <c r="I119" s="29">
        <v>2.2000000000000002</v>
      </c>
      <c r="J119" s="58">
        <f t="shared" si="9"/>
        <v>0.5759162303664922</v>
      </c>
      <c r="K119" s="29">
        <f t="shared" si="10"/>
        <v>14.999999999999998</v>
      </c>
      <c r="L119" s="29">
        <v>1.42</v>
      </c>
      <c r="M119" s="29">
        <v>7.3</v>
      </c>
      <c r="N119" s="24"/>
      <c r="O119" s="108" t="s">
        <v>335</v>
      </c>
    </row>
    <row r="120" spans="1:15">
      <c r="A120" s="27" t="s">
        <v>341</v>
      </c>
      <c r="B120" s="23"/>
      <c r="C120" s="23">
        <v>102</v>
      </c>
      <c r="D120" s="23">
        <v>75</v>
      </c>
      <c r="E120" s="23"/>
      <c r="F120" s="23"/>
      <c r="G120" s="29">
        <v>3.87</v>
      </c>
      <c r="H120" s="29">
        <v>1.7</v>
      </c>
      <c r="I120" s="29">
        <v>2.2000000000000002</v>
      </c>
      <c r="J120" s="58">
        <f t="shared" si="9"/>
        <v>0.56847545219638251</v>
      </c>
      <c r="K120" s="29">
        <f t="shared" si="10"/>
        <v>17.045454545454543</v>
      </c>
      <c r="L120" s="29">
        <v>1.31</v>
      </c>
      <c r="M120" s="29">
        <v>6.6</v>
      </c>
      <c r="N120" s="24"/>
      <c r="O120" s="108" t="s">
        <v>335</v>
      </c>
    </row>
    <row r="121" spans="1:15">
      <c r="A121" s="27" t="s">
        <v>341</v>
      </c>
      <c r="B121" s="23"/>
      <c r="C121" s="23">
        <v>103</v>
      </c>
      <c r="D121" s="23">
        <v>76</v>
      </c>
      <c r="E121" s="23"/>
      <c r="F121" s="23"/>
      <c r="G121" s="29">
        <v>3.69</v>
      </c>
      <c r="H121" s="29">
        <v>1.7</v>
      </c>
      <c r="I121" s="29">
        <v>2</v>
      </c>
      <c r="J121" s="58">
        <f t="shared" si="9"/>
        <v>0.5420054200542006</v>
      </c>
      <c r="K121" s="29">
        <f t="shared" si="10"/>
        <v>19</v>
      </c>
      <c r="L121" s="29">
        <v>1.51</v>
      </c>
      <c r="M121" s="29">
        <v>6.3</v>
      </c>
      <c r="N121" s="24"/>
      <c r="O121" s="108" t="s">
        <v>335</v>
      </c>
    </row>
    <row r="122" spans="1:15">
      <c r="A122" s="27" t="s">
        <v>341</v>
      </c>
      <c r="B122" s="23"/>
      <c r="C122" s="23">
        <v>109</v>
      </c>
      <c r="D122" s="23">
        <v>85</v>
      </c>
      <c r="E122" s="23"/>
      <c r="F122" s="23"/>
      <c r="G122" s="29">
        <v>4.28</v>
      </c>
      <c r="H122" s="29">
        <v>1.5</v>
      </c>
      <c r="I122" s="29">
        <v>2.8</v>
      </c>
      <c r="J122" s="58">
        <f t="shared" si="9"/>
        <v>0.65420560747663548</v>
      </c>
      <c r="K122" s="29">
        <f t="shared" si="10"/>
        <v>15.178571428571429</v>
      </c>
      <c r="L122" s="29">
        <v>1.9</v>
      </c>
      <c r="M122" s="29">
        <v>5.8</v>
      </c>
      <c r="N122" s="24"/>
      <c r="O122" s="108" t="s">
        <v>335</v>
      </c>
    </row>
    <row r="123" spans="1:15">
      <c r="A123" s="27" t="s">
        <v>341</v>
      </c>
      <c r="B123" s="23"/>
      <c r="C123" s="23">
        <v>78</v>
      </c>
      <c r="D123" s="23">
        <v>59</v>
      </c>
      <c r="E123" s="23"/>
      <c r="F123" s="23"/>
      <c r="G123" s="29">
        <v>3.26</v>
      </c>
      <c r="H123" s="29">
        <v>1.7</v>
      </c>
      <c r="I123" s="29">
        <v>1.6</v>
      </c>
      <c r="J123" s="58">
        <f t="shared" si="9"/>
        <v>0.49079754601226999</v>
      </c>
      <c r="K123" s="29">
        <f t="shared" si="10"/>
        <v>18.4375</v>
      </c>
      <c r="L123" s="29">
        <v>1.44</v>
      </c>
      <c r="M123" s="29">
        <v>5.9</v>
      </c>
      <c r="N123" s="24"/>
      <c r="O123" s="108" t="s">
        <v>335</v>
      </c>
    </row>
    <row r="124" spans="1:15">
      <c r="A124" s="27" t="s">
        <v>341</v>
      </c>
      <c r="B124" s="23"/>
      <c r="C124" s="23">
        <v>52</v>
      </c>
      <c r="D124" s="23">
        <v>40</v>
      </c>
      <c r="E124" s="23"/>
      <c r="F124" s="23"/>
      <c r="G124" s="29">
        <v>2.17</v>
      </c>
      <c r="H124" s="29">
        <v>1.1000000000000001</v>
      </c>
      <c r="I124" s="29">
        <v>1.1000000000000001</v>
      </c>
      <c r="J124" s="58">
        <f t="shared" si="9"/>
        <v>0.50691244239631339</v>
      </c>
      <c r="K124" s="29">
        <f t="shared" si="10"/>
        <v>18.18181818181818</v>
      </c>
      <c r="L124" s="29">
        <v>0.94</v>
      </c>
      <c r="M124" s="29">
        <v>3.8</v>
      </c>
      <c r="N124" s="24"/>
      <c r="O124" s="108" t="s">
        <v>335</v>
      </c>
    </row>
    <row r="125" spans="1:15">
      <c r="A125" s="27" t="s">
        <v>341</v>
      </c>
      <c r="B125" s="23"/>
      <c r="C125" s="23">
        <v>115</v>
      </c>
      <c r="D125" s="23">
        <v>89</v>
      </c>
      <c r="E125" s="23"/>
      <c r="F125" s="23"/>
      <c r="G125" s="29">
        <v>4.4800000000000004</v>
      </c>
      <c r="H125" s="29">
        <v>2</v>
      </c>
      <c r="I125" s="29">
        <v>2.5</v>
      </c>
      <c r="J125" s="58">
        <f t="shared" si="9"/>
        <v>0.55803571428571419</v>
      </c>
      <c r="K125" s="29">
        <f t="shared" si="10"/>
        <v>17.8</v>
      </c>
      <c r="L125" s="29">
        <v>1.99</v>
      </c>
      <c r="M125" s="29">
        <v>5.0999999999999996</v>
      </c>
      <c r="N125" s="24"/>
      <c r="O125" s="108" t="s">
        <v>335</v>
      </c>
    </row>
    <row r="126" spans="1:15">
      <c r="A126" s="27" t="s">
        <v>341</v>
      </c>
      <c r="B126" s="23"/>
      <c r="C126" s="23">
        <v>54</v>
      </c>
      <c r="D126" s="23">
        <v>38</v>
      </c>
      <c r="E126" s="23"/>
      <c r="F126" s="23"/>
      <c r="G126" s="29">
        <v>3.21</v>
      </c>
      <c r="H126" s="29">
        <v>2.1</v>
      </c>
      <c r="I126" s="29">
        <v>1.1000000000000001</v>
      </c>
      <c r="J126" s="58">
        <f t="shared" si="9"/>
        <v>0.34267912772585674</v>
      </c>
      <c r="K126" s="29">
        <f t="shared" si="10"/>
        <v>17.27272727272727</v>
      </c>
      <c r="L126" s="29">
        <v>0.92</v>
      </c>
      <c r="M126" s="29">
        <v>5</v>
      </c>
      <c r="N126" s="24"/>
      <c r="O126" s="108" t="s">
        <v>335</v>
      </c>
    </row>
    <row r="127" spans="1:15">
      <c r="A127" s="27" t="s">
        <v>341</v>
      </c>
      <c r="B127" s="23"/>
      <c r="C127" s="23">
        <v>90</v>
      </c>
      <c r="D127" s="23">
        <v>72</v>
      </c>
      <c r="E127" s="23"/>
      <c r="F127" s="23"/>
      <c r="G127" s="29">
        <v>3.48</v>
      </c>
      <c r="H127" s="29">
        <v>1.1000000000000001</v>
      </c>
      <c r="I127" s="29">
        <v>2.4</v>
      </c>
      <c r="J127" s="58">
        <f t="shared" si="9"/>
        <v>0.68965517241379304</v>
      </c>
      <c r="K127" s="29">
        <f t="shared" si="10"/>
        <v>15</v>
      </c>
      <c r="L127" s="29">
        <v>1.24</v>
      </c>
      <c r="M127" s="29">
        <v>6.7</v>
      </c>
      <c r="N127" s="24"/>
      <c r="O127" s="108" t="s">
        <v>335</v>
      </c>
    </row>
    <row r="128" spans="1:15">
      <c r="A128" s="27" t="s">
        <v>341</v>
      </c>
      <c r="B128" s="23"/>
      <c r="C128" s="23">
        <v>70</v>
      </c>
      <c r="D128" s="23">
        <v>51</v>
      </c>
      <c r="E128" s="23"/>
      <c r="F128" s="23"/>
      <c r="G128" s="29">
        <v>2.84</v>
      </c>
      <c r="H128" s="29">
        <v>1.7</v>
      </c>
      <c r="I128" s="29">
        <v>1.1000000000000001</v>
      </c>
      <c r="J128" s="58">
        <f t="shared" si="9"/>
        <v>0.38732394366197187</v>
      </c>
      <c r="K128" s="29">
        <f t="shared" si="10"/>
        <v>23.18181818181818</v>
      </c>
      <c r="L128" s="29">
        <v>0.98</v>
      </c>
      <c r="M128" s="29">
        <v>4.8</v>
      </c>
      <c r="N128" s="24"/>
      <c r="O128" s="108" t="s">
        <v>335</v>
      </c>
    </row>
    <row r="129" spans="1:15">
      <c r="A129" s="27" t="s">
        <v>341</v>
      </c>
      <c r="B129" s="23"/>
      <c r="C129" s="23">
        <v>104</v>
      </c>
      <c r="D129" s="23">
        <v>71</v>
      </c>
      <c r="E129" s="23"/>
      <c r="F129" s="23"/>
      <c r="G129" s="29">
        <v>3.87</v>
      </c>
      <c r="H129" s="29">
        <v>1.8</v>
      </c>
      <c r="I129" s="29">
        <v>2.1</v>
      </c>
      <c r="J129" s="58">
        <f t="shared" si="9"/>
        <v>0.54263565891472865</v>
      </c>
      <c r="K129" s="29">
        <f t="shared" si="10"/>
        <v>16.904761904761905</v>
      </c>
      <c r="L129" s="29">
        <v>2.61</v>
      </c>
      <c r="M129" s="29">
        <v>7.4</v>
      </c>
      <c r="N129" s="24"/>
      <c r="O129" s="108" t="s">
        <v>335</v>
      </c>
    </row>
    <row r="130" spans="1:15">
      <c r="A130" s="27" t="s">
        <v>341</v>
      </c>
      <c r="B130" s="23"/>
      <c r="C130" s="23">
        <v>78</v>
      </c>
      <c r="D130" s="23">
        <v>57</v>
      </c>
      <c r="E130" s="23"/>
      <c r="F130" s="23"/>
      <c r="G130" s="29">
        <v>3.45</v>
      </c>
      <c r="H130" s="29">
        <v>1.9</v>
      </c>
      <c r="I130" s="29">
        <v>1.6</v>
      </c>
      <c r="J130" s="58">
        <f t="shared" si="9"/>
        <v>0.46376811594202899</v>
      </c>
      <c r="K130" s="29">
        <f t="shared" si="10"/>
        <v>17.8125</v>
      </c>
      <c r="L130" s="29">
        <v>1.17</v>
      </c>
      <c r="M130" s="29">
        <v>5.7</v>
      </c>
      <c r="N130" s="24"/>
      <c r="O130" s="108" t="s">
        <v>335</v>
      </c>
    </row>
    <row r="131" spans="1:15">
      <c r="A131" s="27" t="s">
        <v>341</v>
      </c>
      <c r="B131" s="23"/>
      <c r="C131" s="23">
        <v>69</v>
      </c>
      <c r="D131" s="23">
        <v>53</v>
      </c>
      <c r="E131" s="23"/>
      <c r="F131" s="23"/>
      <c r="G131" s="29">
        <v>2.91</v>
      </c>
      <c r="H131" s="29">
        <v>1.4</v>
      </c>
      <c r="I131" s="29">
        <v>1.5</v>
      </c>
      <c r="J131" s="58">
        <f t="shared" si="9"/>
        <v>0.51546391752577314</v>
      </c>
      <c r="K131" s="29">
        <f t="shared" si="10"/>
        <v>17.666666666666668</v>
      </c>
      <c r="L131" s="29">
        <v>1.28</v>
      </c>
      <c r="M131" s="29">
        <v>5.3</v>
      </c>
      <c r="N131" s="24"/>
      <c r="O131" s="108" t="s">
        <v>335</v>
      </c>
    </row>
    <row r="132" spans="1:15">
      <c r="A132" s="27" t="s">
        <v>341</v>
      </c>
      <c r="B132" s="23"/>
      <c r="C132" s="23">
        <v>42</v>
      </c>
      <c r="D132" s="23">
        <v>27</v>
      </c>
      <c r="E132" s="23"/>
      <c r="F132" s="23"/>
      <c r="G132" s="29">
        <v>2.7</v>
      </c>
      <c r="H132" s="29">
        <v>1.1000000000000001</v>
      </c>
      <c r="I132" s="29">
        <v>1.6</v>
      </c>
      <c r="J132" s="58">
        <f t="shared" si="9"/>
        <v>0.59259259259259256</v>
      </c>
      <c r="K132" s="29">
        <f t="shared" si="10"/>
        <v>8.4375</v>
      </c>
      <c r="L132" s="29">
        <v>0.98</v>
      </c>
      <c r="M132" s="29">
        <v>4</v>
      </c>
      <c r="N132" s="24"/>
      <c r="O132" s="108" t="s">
        <v>335</v>
      </c>
    </row>
    <row r="133" spans="1:15">
      <c r="A133" s="27" t="s">
        <v>341</v>
      </c>
      <c r="B133" s="23"/>
      <c r="C133" s="23">
        <v>72</v>
      </c>
      <c r="D133" s="23">
        <v>45</v>
      </c>
      <c r="E133" s="23"/>
      <c r="F133" s="23"/>
      <c r="G133" s="29">
        <v>3.73</v>
      </c>
      <c r="H133" s="29">
        <v>2</v>
      </c>
      <c r="I133" s="29">
        <v>1.7</v>
      </c>
      <c r="J133" s="58">
        <f t="shared" si="9"/>
        <v>0.4557640750670241</v>
      </c>
      <c r="K133" s="29">
        <f t="shared" si="10"/>
        <v>13.23529411764706</v>
      </c>
      <c r="L133" s="29">
        <v>1.21</v>
      </c>
      <c r="M133" s="29">
        <v>6.5</v>
      </c>
      <c r="N133" s="24"/>
      <c r="O133" s="108" t="s">
        <v>335</v>
      </c>
    </row>
    <row r="134" spans="1:15">
      <c r="A134" s="27" t="s">
        <v>341</v>
      </c>
      <c r="B134" s="23"/>
      <c r="C134" s="23">
        <v>80</v>
      </c>
      <c r="D134" s="23">
        <v>60</v>
      </c>
      <c r="E134" s="23"/>
      <c r="F134" s="23"/>
      <c r="G134" s="29">
        <v>3.36</v>
      </c>
      <c r="H134" s="29">
        <v>1.7</v>
      </c>
      <c r="I134" s="29">
        <v>1.7</v>
      </c>
      <c r="J134" s="58">
        <f t="shared" si="9"/>
        <v>0.50595238095238093</v>
      </c>
      <c r="K134" s="29">
        <f t="shared" si="10"/>
        <v>17.647058823529413</v>
      </c>
      <c r="L134" s="29">
        <v>1.28</v>
      </c>
      <c r="M134" s="29">
        <v>5.8</v>
      </c>
      <c r="N134" s="24"/>
      <c r="O134" s="108" t="s">
        <v>335</v>
      </c>
    </row>
    <row r="135" spans="1:15">
      <c r="A135" s="27" t="s">
        <v>341</v>
      </c>
      <c r="B135" s="23"/>
      <c r="C135" s="23">
        <v>78</v>
      </c>
      <c r="D135" s="23">
        <v>57</v>
      </c>
      <c r="E135" s="23"/>
      <c r="F135" s="23"/>
      <c r="G135" s="29">
        <v>4.3499999999999996</v>
      </c>
      <c r="H135" s="29">
        <v>2.5</v>
      </c>
      <c r="I135" s="29">
        <v>1.9</v>
      </c>
      <c r="J135" s="58">
        <f t="shared" si="9"/>
        <v>0.43678160919540232</v>
      </c>
      <c r="K135" s="29">
        <f t="shared" si="10"/>
        <v>15</v>
      </c>
      <c r="L135" s="29">
        <v>1.65</v>
      </c>
      <c r="M135" s="29">
        <v>6.5</v>
      </c>
      <c r="N135" s="24"/>
      <c r="O135" s="108" t="s">
        <v>335</v>
      </c>
    </row>
    <row r="136" spans="1:15">
      <c r="A136" s="27" t="s">
        <v>341</v>
      </c>
      <c r="B136" s="23"/>
      <c r="C136" s="23">
        <v>74</v>
      </c>
      <c r="D136" s="23">
        <v>55</v>
      </c>
      <c r="E136" s="23"/>
      <c r="F136" s="23"/>
      <c r="G136" s="29">
        <v>3.26</v>
      </c>
      <c r="H136" s="29">
        <v>2.1</v>
      </c>
      <c r="I136" s="29">
        <v>1.2</v>
      </c>
      <c r="J136" s="58">
        <f t="shared" si="9"/>
        <v>0.36809815950920244</v>
      </c>
      <c r="K136" s="29">
        <f t="shared" si="10"/>
        <v>22.916666666666668</v>
      </c>
      <c r="L136" s="29">
        <v>1.08</v>
      </c>
      <c r="M136" s="29">
        <v>5.0999999999999996</v>
      </c>
      <c r="N136" s="24"/>
      <c r="O136" s="108" t="s">
        <v>335</v>
      </c>
    </row>
    <row r="137" spans="1:15">
      <c r="A137" s="27" t="s">
        <v>341</v>
      </c>
      <c r="B137" s="23"/>
      <c r="C137" s="23">
        <v>84</v>
      </c>
      <c r="D137" s="23">
        <v>63</v>
      </c>
      <c r="E137" s="23"/>
      <c r="F137" s="23"/>
      <c r="G137" s="29">
        <v>3.59</v>
      </c>
      <c r="H137" s="29">
        <v>1.9</v>
      </c>
      <c r="I137" s="29">
        <v>1.7</v>
      </c>
      <c r="J137" s="58">
        <f t="shared" si="9"/>
        <v>0.47353760445682452</v>
      </c>
      <c r="K137" s="29">
        <f t="shared" si="10"/>
        <v>18.529411764705884</v>
      </c>
      <c r="L137" s="29">
        <v>1.21</v>
      </c>
      <c r="M137" s="29">
        <v>5.0999999999999996</v>
      </c>
      <c r="N137" s="24"/>
      <c r="O137" s="108" t="s">
        <v>335</v>
      </c>
    </row>
    <row r="138" spans="1:15">
      <c r="A138" s="27" t="s">
        <v>341</v>
      </c>
      <c r="B138" s="23"/>
      <c r="C138" s="23">
        <v>95</v>
      </c>
      <c r="D138" s="23">
        <v>65</v>
      </c>
      <c r="E138" s="23"/>
      <c r="F138" s="23"/>
      <c r="G138" s="29">
        <v>4.9000000000000004</v>
      </c>
      <c r="H138" s="23"/>
      <c r="I138" s="23"/>
      <c r="J138" s="23"/>
      <c r="K138" s="23"/>
      <c r="L138" s="29">
        <v>1.8</v>
      </c>
      <c r="M138" s="29">
        <v>6.8</v>
      </c>
      <c r="N138" s="24"/>
      <c r="O138" s="109" t="s">
        <v>334</v>
      </c>
    </row>
    <row r="139" spans="1:15">
      <c r="A139" s="27" t="s">
        <v>341</v>
      </c>
      <c r="B139" s="23"/>
      <c r="C139" s="23">
        <v>88</v>
      </c>
      <c r="D139" s="23">
        <v>58</v>
      </c>
      <c r="E139" s="23"/>
      <c r="F139" s="23"/>
      <c r="G139" s="29">
        <v>3.8</v>
      </c>
      <c r="H139" s="23"/>
      <c r="I139" s="23"/>
      <c r="J139" s="23"/>
      <c r="K139" s="23"/>
      <c r="L139" s="29">
        <v>1.5</v>
      </c>
      <c r="M139" s="29">
        <v>6.9</v>
      </c>
      <c r="N139" s="24"/>
      <c r="O139" s="109" t="s">
        <v>334</v>
      </c>
    </row>
    <row r="140" spans="1:15">
      <c r="A140" s="27" t="s">
        <v>341</v>
      </c>
      <c r="B140" s="23"/>
      <c r="C140" s="23">
        <v>86</v>
      </c>
      <c r="D140" s="23">
        <v>64</v>
      </c>
      <c r="E140" s="23"/>
      <c r="F140" s="23"/>
      <c r="G140" s="29">
        <v>4.4000000000000004</v>
      </c>
      <c r="H140" s="23"/>
      <c r="I140" s="23"/>
      <c r="J140" s="23"/>
      <c r="K140" s="23"/>
      <c r="L140" s="29">
        <v>1.6</v>
      </c>
      <c r="M140" s="29">
        <v>8</v>
      </c>
      <c r="N140" s="24"/>
      <c r="O140" s="109" t="s">
        <v>334</v>
      </c>
    </row>
    <row r="141" spans="1:15">
      <c r="A141" s="27" t="s">
        <v>341</v>
      </c>
      <c r="B141" s="23"/>
      <c r="C141" s="23">
        <v>75</v>
      </c>
      <c r="D141" s="23">
        <v>50</v>
      </c>
      <c r="E141" s="23"/>
      <c r="F141" s="23"/>
      <c r="G141" s="29">
        <v>3.73</v>
      </c>
      <c r="H141" s="23"/>
      <c r="I141" s="23"/>
      <c r="J141" s="23"/>
      <c r="K141" s="23"/>
      <c r="L141" s="29">
        <v>1.49</v>
      </c>
      <c r="M141" s="29">
        <v>8.4</v>
      </c>
      <c r="N141" s="24"/>
      <c r="O141" s="109" t="s">
        <v>334</v>
      </c>
    </row>
    <row r="142" spans="1:15">
      <c r="A142" s="27" t="s">
        <v>341</v>
      </c>
      <c r="B142" s="23"/>
      <c r="C142" s="23">
        <v>76</v>
      </c>
      <c r="D142" s="23">
        <v>55</v>
      </c>
      <c r="E142" s="23"/>
      <c r="F142" s="23"/>
      <c r="G142" s="29">
        <v>4.3499999999999996</v>
      </c>
      <c r="H142" s="23"/>
      <c r="I142" s="23"/>
      <c r="J142" s="23"/>
      <c r="K142" s="23"/>
      <c r="L142" s="29">
        <v>1.4</v>
      </c>
      <c r="M142" s="29">
        <v>7.5</v>
      </c>
      <c r="N142" s="24"/>
      <c r="O142" s="109" t="s">
        <v>334</v>
      </c>
    </row>
    <row r="143" spans="1:15">
      <c r="A143" s="27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4"/>
      <c r="O143" s="25"/>
    </row>
    <row r="144" spans="1:15">
      <c r="A144" s="56" t="s">
        <v>342</v>
      </c>
      <c r="B144" s="23"/>
      <c r="C144" s="57">
        <f>AVERAGE(C3:C142)</f>
        <v>81.935714285714283</v>
      </c>
      <c r="D144" s="57">
        <f>AVERAGE(D3:D142)</f>
        <v>60.211428571428577</v>
      </c>
      <c r="E144" s="23"/>
      <c r="F144" s="23"/>
      <c r="G144" s="29">
        <f>AVERAGE(G3:G142)</f>
        <v>3.6319285714285718</v>
      </c>
      <c r="H144" s="29">
        <f t="shared" ref="H144:M144" si="11">AVERAGE(H3:H142)</f>
        <v>1.7396694214876034</v>
      </c>
      <c r="I144" s="29">
        <f t="shared" si="11"/>
        <v>1.8438016528925611</v>
      </c>
      <c r="J144" s="58">
        <f t="shared" si="11"/>
        <v>0.50991340129073293</v>
      </c>
      <c r="K144" s="29">
        <f t="shared" si="11"/>
        <v>16.730144056958896</v>
      </c>
      <c r="L144" s="29">
        <f t="shared" si="11"/>
        <v>1.4889999999999994</v>
      </c>
      <c r="M144" s="29">
        <f t="shared" si="11"/>
        <v>6.0382352941176451</v>
      </c>
      <c r="N144" s="24"/>
      <c r="O144" s="25"/>
    </row>
    <row r="145" spans="1:15">
      <c r="A145" s="56" t="s">
        <v>177</v>
      </c>
      <c r="B145" s="23"/>
      <c r="C145" s="57">
        <f>_xlfn.STDEV.S(C3:C142)</f>
        <v>20.039245923536328</v>
      </c>
      <c r="D145" s="57">
        <f>_xlfn.STDEV.S(D3:D142)</f>
        <v>16.869260647077375</v>
      </c>
      <c r="E145" s="23"/>
      <c r="F145" s="23"/>
      <c r="G145" s="29">
        <f>_xlfn.STDEV.S(G3:G142)</f>
        <v>0.84055813628372078</v>
      </c>
      <c r="H145" s="29">
        <f t="shared" ref="H145:M145" si="12">_xlfn.STDEV.S(H3:H142)</f>
        <v>0.45725254488866712</v>
      </c>
      <c r="I145" s="29">
        <f t="shared" si="12"/>
        <v>0.59426320795635668</v>
      </c>
      <c r="J145" s="29">
        <f t="shared" si="12"/>
        <v>8.6877903766030579E-2</v>
      </c>
      <c r="K145" s="29">
        <f t="shared" si="12"/>
        <v>4.3641552939044415</v>
      </c>
      <c r="L145" s="29">
        <f t="shared" si="12"/>
        <v>0.50012559573650295</v>
      </c>
      <c r="M145" s="29">
        <f t="shared" si="12"/>
        <v>1.0891422941100051</v>
      </c>
      <c r="N145" s="24"/>
      <c r="O145" s="25"/>
    </row>
    <row r="146" spans="1:15">
      <c r="A146" s="56"/>
      <c r="B146" s="23"/>
      <c r="C146" s="57"/>
      <c r="D146" s="57"/>
      <c r="E146" s="23"/>
      <c r="F146" s="23"/>
      <c r="G146" s="29"/>
      <c r="H146" s="29"/>
      <c r="I146" s="29"/>
      <c r="J146" s="29"/>
      <c r="K146" s="29"/>
      <c r="L146" s="29"/>
      <c r="M146" s="29"/>
      <c r="N146" s="24"/>
      <c r="O146" s="25"/>
    </row>
    <row r="147" spans="1:15">
      <c r="A147" s="56"/>
      <c r="B147" s="23"/>
      <c r="C147" s="57"/>
      <c r="D147" s="57"/>
      <c r="E147" s="23"/>
      <c r="F147" s="23"/>
      <c r="G147" s="29"/>
      <c r="H147" s="29"/>
      <c r="I147" s="29"/>
      <c r="J147" s="29"/>
      <c r="K147" s="29"/>
      <c r="L147" s="29"/>
      <c r="M147" s="29"/>
      <c r="N147" s="24"/>
      <c r="O147" s="25"/>
    </row>
    <row r="148" spans="1:15">
      <c r="A148" s="22" t="s">
        <v>345</v>
      </c>
      <c r="B148" s="23"/>
      <c r="C148" s="57"/>
      <c r="D148" s="57"/>
      <c r="E148" s="23"/>
      <c r="F148" s="23"/>
      <c r="G148" s="29"/>
      <c r="H148" s="29"/>
      <c r="I148" s="29"/>
      <c r="J148" s="29"/>
      <c r="K148" s="29"/>
      <c r="L148" s="29"/>
      <c r="M148" s="29"/>
      <c r="N148" s="24"/>
      <c r="O148" s="25"/>
    </row>
    <row r="149" spans="1:15">
      <c r="A149" s="27" t="s">
        <v>346</v>
      </c>
      <c r="B149" s="23"/>
      <c r="C149" s="57">
        <v>22</v>
      </c>
      <c r="D149" s="57">
        <v>12</v>
      </c>
      <c r="E149" s="23"/>
      <c r="F149" s="23"/>
      <c r="G149" s="29">
        <v>2.1</v>
      </c>
      <c r="H149" s="29"/>
      <c r="I149" s="29"/>
      <c r="J149" s="29"/>
      <c r="K149" s="29"/>
      <c r="L149" s="29">
        <v>0.3</v>
      </c>
      <c r="M149" s="29">
        <v>4.3</v>
      </c>
      <c r="N149" s="24"/>
      <c r="O149" s="25" t="s">
        <v>335</v>
      </c>
    </row>
    <row r="150" spans="1:15">
      <c r="A150" s="27" t="s">
        <v>346</v>
      </c>
      <c r="B150" s="23"/>
      <c r="C150" s="57">
        <v>25</v>
      </c>
      <c r="D150" s="57">
        <v>14</v>
      </c>
      <c r="E150" s="23"/>
      <c r="F150" s="23"/>
      <c r="G150" s="29">
        <v>1.6</v>
      </c>
      <c r="H150" s="29">
        <v>1</v>
      </c>
      <c r="I150" s="29">
        <v>0.6</v>
      </c>
      <c r="J150" s="58">
        <f>I150/G150</f>
        <v>0.37499999999999994</v>
      </c>
      <c r="K150" s="29">
        <f>D150*0.5/I150</f>
        <v>11.666666666666668</v>
      </c>
      <c r="L150" s="29">
        <v>0.4</v>
      </c>
      <c r="M150" s="29">
        <v>5.3</v>
      </c>
      <c r="N150" s="24"/>
      <c r="O150" s="25" t="s">
        <v>335</v>
      </c>
    </row>
    <row r="151" spans="1:15">
      <c r="A151" s="27" t="s">
        <v>346</v>
      </c>
      <c r="B151" s="23"/>
      <c r="C151" s="57">
        <v>27</v>
      </c>
      <c r="D151" s="57">
        <v>14</v>
      </c>
      <c r="E151" s="23"/>
      <c r="F151" s="23"/>
      <c r="G151" s="29">
        <v>1.3</v>
      </c>
      <c r="H151" s="29">
        <v>0.6</v>
      </c>
      <c r="I151" s="29">
        <v>0.8</v>
      </c>
      <c r="J151" s="58">
        <f t="shared" ref="J151:J153" si="13">I151/G151</f>
        <v>0.61538461538461542</v>
      </c>
      <c r="K151" s="29">
        <f t="shared" ref="K151:K153" si="14">D151*0.5/I151</f>
        <v>8.75</v>
      </c>
      <c r="L151" s="29">
        <v>0.5</v>
      </c>
      <c r="M151" s="29">
        <v>6.1</v>
      </c>
      <c r="N151" s="24"/>
      <c r="O151" s="25" t="s">
        <v>335</v>
      </c>
    </row>
    <row r="152" spans="1:15">
      <c r="A152" s="27" t="s">
        <v>346</v>
      </c>
      <c r="B152" s="23"/>
      <c r="C152" s="57">
        <v>32</v>
      </c>
      <c r="D152" s="57">
        <v>19</v>
      </c>
      <c r="E152" s="23"/>
      <c r="F152" s="23"/>
      <c r="G152" s="29">
        <v>2.7</v>
      </c>
      <c r="H152" s="29">
        <v>2</v>
      </c>
      <c r="I152" s="29">
        <v>0.7</v>
      </c>
      <c r="J152" s="58">
        <f t="shared" si="13"/>
        <v>0.25925925925925924</v>
      </c>
      <c r="K152" s="29">
        <f t="shared" si="14"/>
        <v>13.571428571428573</v>
      </c>
      <c r="L152" s="29">
        <v>0.6</v>
      </c>
      <c r="M152" s="29">
        <v>6.8</v>
      </c>
      <c r="N152" s="24"/>
      <c r="O152" s="25" t="s">
        <v>335</v>
      </c>
    </row>
    <row r="153" spans="1:15">
      <c r="A153" s="27" t="s">
        <v>346</v>
      </c>
      <c r="B153" s="23"/>
      <c r="C153" s="57">
        <v>23</v>
      </c>
      <c r="D153" s="57">
        <v>12</v>
      </c>
      <c r="E153" s="23"/>
      <c r="F153" s="23"/>
      <c r="G153" s="29">
        <v>1.3</v>
      </c>
      <c r="H153" s="29">
        <v>0.9</v>
      </c>
      <c r="I153" s="29">
        <v>0.5</v>
      </c>
      <c r="J153" s="58">
        <f t="shared" si="13"/>
        <v>0.38461538461538458</v>
      </c>
      <c r="K153" s="29">
        <f t="shared" si="14"/>
        <v>12</v>
      </c>
      <c r="L153" s="29">
        <v>0.5</v>
      </c>
      <c r="M153" s="29">
        <v>5.3</v>
      </c>
      <c r="N153" s="24"/>
      <c r="O153" s="25" t="s">
        <v>335</v>
      </c>
    </row>
    <row r="154" spans="1:15">
      <c r="A154" s="56"/>
      <c r="B154" s="23"/>
      <c r="C154" s="57"/>
      <c r="D154" s="57"/>
      <c r="E154" s="23"/>
      <c r="F154" s="23"/>
      <c r="G154" s="29"/>
      <c r="H154" s="29"/>
      <c r="I154" s="29"/>
      <c r="J154" s="29"/>
      <c r="K154" s="29"/>
      <c r="L154" s="29"/>
      <c r="M154" s="29"/>
      <c r="N154" s="24"/>
      <c r="O154" s="25"/>
    </row>
    <row r="155" spans="1:15">
      <c r="A155" s="56" t="s">
        <v>347</v>
      </c>
      <c r="B155" s="23"/>
      <c r="C155" s="57">
        <f>AVERAGE(C149:C153)</f>
        <v>25.8</v>
      </c>
      <c r="D155" s="57">
        <f>AVERAGE(D149:D153)</f>
        <v>14.2</v>
      </c>
      <c r="E155" s="23"/>
      <c r="F155" s="23"/>
      <c r="G155" s="29">
        <f t="shared" ref="G155:M155" si="15">AVERAGE(G149:G153)</f>
        <v>1.8</v>
      </c>
      <c r="H155" s="29">
        <f t="shared" si="15"/>
        <v>1.125</v>
      </c>
      <c r="I155" s="29">
        <f t="shared" si="15"/>
        <v>0.64999999999999991</v>
      </c>
      <c r="J155" s="58">
        <f t="shared" si="15"/>
        <v>0.40856481481481483</v>
      </c>
      <c r="K155" s="29">
        <f t="shared" si="15"/>
        <v>11.49702380952381</v>
      </c>
      <c r="L155" s="29">
        <f t="shared" si="15"/>
        <v>0.45999999999999996</v>
      </c>
      <c r="M155" s="29">
        <f t="shared" si="15"/>
        <v>5.5600000000000005</v>
      </c>
      <c r="N155" s="24"/>
      <c r="O155" s="25"/>
    </row>
    <row r="156" spans="1:15">
      <c r="A156" s="27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4"/>
      <c r="O156" s="25"/>
    </row>
    <row r="157" spans="1:15">
      <c r="A157" s="26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4"/>
      <c r="O157" s="25"/>
    </row>
    <row r="158" spans="1:15">
      <c r="A158" s="22" t="s">
        <v>351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4"/>
      <c r="O158" s="25"/>
    </row>
    <row r="159" spans="1:15">
      <c r="A159" s="26" t="s">
        <v>337</v>
      </c>
      <c r="B159" s="23"/>
      <c r="C159" s="23">
        <v>238</v>
      </c>
      <c r="D159" s="23">
        <v>137</v>
      </c>
      <c r="E159" s="23"/>
      <c r="F159" s="23"/>
      <c r="G159" s="29">
        <v>6.8</v>
      </c>
      <c r="H159" s="29"/>
      <c r="I159" s="29"/>
      <c r="J159" s="29"/>
      <c r="K159" s="29"/>
      <c r="L159" s="29">
        <v>3.2</v>
      </c>
      <c r="M159" s="29">
        <v>11.7</v>
      </c>
      <c r="N159" s="24"/>
      <c r="O159" s="25" t="s">
        <v>335</v>
      </c>
    </row>
    <row r="160" spans="1:15">
      <c r="A160" s="26" t="s">
        <v>337</v>
      </c>
      <c r="B160" s="23"/>
      <c r="C160" s="23">
        <v>269</v>
      </c>
      <c r="D160" s="23">
        <v>219</v>
      </c>
      <c r="E160" s="23"/>
      <c r="F160" s="23"/>
      <c r="G160" s="29">
        <v>6.2</v>
      </c>
      <c r="H160" s="29"/>
      <c r="I160" s="29"/>
      <c r="J160" s="29"/>
      <c r="K160" s="29"/>
      <c r="L160" s="29">
        <v>2.4</v>
      </c>
      <c r="M160" s="29">
        <v>11.9</v>
      </c>
      <c r="N160" s="24"/>
      <c r="O160" s="25" t="s">
        <v>335</v>
      </c>
    </row>
    <row r="161" spans="1:15">
      <c r="A161" s="26" t="s">
        <v>337</v>
      </c>
      <c r="B161" s="23"/>
      <c r="C161" s="23">
        <v>237</v>
      </c>
      <c r="D161" s="23">
        <v>139</v>
      </c>
      <c r="E161" s="23"/>
      <c r="F161" s="23"/>
      <c r="G161" s="29">
        <v>5.4</v>
      </c>
      <c r="H161" s="29"/>
      <c r="I161" s="29"/>
      <c r="J161" s="29"/>
      <c r="K161" s="29"/>
      <c r="L161" s="29">
        <v>3.3</v>
      </c>
      <c r="M161" s="29">
        <v>7</v>
      </c>
      <c r="N161" s="24"/>
      <c r="O161" s="25" t="s">
        <v>335</v>
      </c>
    </row>
    <row r="162" spans="1:15">
      <c r="A162" s="26" t="s">
        <v>337</v>
      </c>
      <c r="B162" s="23"/>
      <c r="C162" s="23">
        <v>173</v>
      </c>
      <c r="D162" s="23">
        <v>133</v>
      </c>
      <c r="E162" s="23"/>
      <c r="F162" s="23"/>
      <c r="G162" s="29">
        <v>4.4000000000000004</v>
      </c>
      <c r="H162" s="29">
        <v>0.9</v>
      </c>
      <c r="I162" s="29">
        <v>3.6</v>
      </c>
      <c r="J162" s="58">
        <f t="shared" ref="J162:J167" si="16">I162/G162</f>
        <v>0.81818181818181812</v>
      </c>
      <c r="K162" s="29">
        <f t="shared" ref="K162:K167" si="17">D162*0.5/I162</f>
        <v>18.472222222222221</v>
      </c>
      <c r="L162" s="29">
        <v>2.7</v>
      </c>
      <c r="M162" s="29"/>
      <c r="N162" s="24"/>
      <c r="O162" s="25" t="s">
        <v>335</v>
      </c>
    </row>
    <row r="163" spans="1:15">
      <c r="A163" s="26" t="s">
        <v>337</v>
      </c>
      <c r="B163" s="23"/>
      <c r="C163" s="23">
        <v>169</v>
      </c>
      <c r="D163" s="23">
        <v>135</v>
      </c>
      <c r="E163" s="23"/>
      <c r="F163" s="23"/>
      <c r="G163" s="29">
        <v>5</v>
      </c>
      <c r="H163" s="29">
        <v>0.8</v>
      </c>
      <c r="I163" s="29">
        <v>4.2</v>
      </c>
      <c r="J163" s="58">
        <f t="shared" si="16"/>
        <v>0.84000000000000008</v>
      </c>
      <c r="K163" s="29">
        <f t="shared" si="17"/>
        <v>16.071428571428569</v>
      </c>
      <c r="L163" s="29">
        <v>1.8</v>
      </c>
      <c r="M163" s="29"/>
      <c r="N163" s="24"/>
      <c r="O163" s="25" t="s">
        <v>335</v>
      </c>
    </row>
    <row r="164" spans="1:15">
      <c r="A164" s="26" t="s">
        <v>337</v>
      </c>
      <c r="B164" s="23"/>
      <c r="C164" s="23">
        <v>236</v>
      </c>
      <c r="D164" s="23">
        <v>124</v>
      </c>
      <c r="E164" s="23"/>
      <c r="F164" s="23"/>
      <c r="G164" s="29">
        <v>6.6</v>
      </c>
      <c r="H164" s="29">
        <v>1.8</v>
      </c>
      <c r="I164" s="29">
        <f>G164-H164</f>
        <v>4.8</v>
      </c>
      <c r="J164" s="58">
        <f t="shared" si="16"/>
        <v>0.72727272727272729</v>
      </c>
      <c r="K164" s="29">
        <f t="shared" si="17"/>
        <v>12.916666666666668</v>
      </c>
      <c r="L164" s="29">
        <v>3.9</v>
      </c>
      <c r="M164" s="29">
        <v>13.8</v>
      </c>
      <c r="N164" s="24"/>
      <c r="O164" s="25" t="s">
        <v>335</v>
      </c>
    </row>
    <row r="165" spans="1:15">
      <c r="A165" s="26" t="s">
        <v>337</v>
      </c>
      <c r="B165" s="23"/>
      <c r="C165" s="23">
        <v>197</v>
      </c>
      <c r="D165" s="23">
        <v>126</v>
      </c>
      <c r="E165" s="23"/>
      <c r="F165" s="23"/>
      <c r="G165" s="29">
        <v>6.9</v>
      </c>
      <c r="H165" s="29">
        <v>0.7</v>
      </c>
      <c r="I165" s="29">
        <f>G165-H165</f>
        <v>6.2</v>
      </c>
      <c r="J165" s="58">
        <f t="shared" si="16"/>
        <v>0.89855072463768115</v>
      </c>
      <c r="K165" s="29">
        <f t="shared" si="17"/>
        <v>10.161290322580644</v>
      </c>
      <c r="L165" s="29">
        <v>4.8</v>
      </c>
      <c r="M165" s="29">
        <v>6.8</v>
      </c>
      <c r="N165" s="24"/>
      <c r="O165" s="25" t="s">
        <v>335</v>
      </c>
    </row>
    <row r="166" spans="1:15">
      <c r="A166" s="26" t="s">
        <v>337</v>
      </c>
      <c r="B166" s="23"/>
      <c r="C166" s="23">
        <v>294</v>
      </c>
      <c r="D166" s="23">
        <v>177</v>
      </c>
      <c r="E166" s="23"/>
      <c r="F166" s="23"/>
      <c r="G166" s="29">
        <v>6.6</v>
      </c>
      <c r="H166" s="29">
        <v>0.8</v>
      </c>
      <c r="I166" s="29">
        <f>G166-H166</f>
        <v>5.8</v>
      </c>
      <c r="J166" s="58">
        <f t="shared" si="16"/>
        <v>0.87878787878787878</v>
      </c>
      <c r="K166" s="29">
        <f t="shared" si="17"/>
        <v>15.258620689655173</v>
      </c>
      <c r="L166" s="29">
        <v>3.3</v>
      </c>
      <c r="M166" s="29">
        <v>9</v>
      </c>
      <c r="N166" s="24"/>
      <c r="O166" s="25" t="s">
        <v>335</v>
      </c>
    </row>
    <row r="167" spans="1:15">
      <c r="A167" s="26" t="s">
        <v>337</v>
      </c>
      <c r="B167" s="23"/>
      <c r="C167" s="23">
        <v>183</v>
      </c>
      <c r="D167" s="23">
        <v>133</v>
      </c>
      <c r="E167" s="23"/>
      <c r="F167" s="23"/>
      <c r="G167" s="29">
        <v>5</v>
      </c>
      <c r="H167" s="29">
        <v>0.6</v>
      </c>
      <c r="I167" s="29">
        <v>4.4000000000000004</v>
      </c>
      <c r="J167" s="58">
        <f t="shared" si="16"/>
        <v>0.88000000000000012</v>
      </c>
      <c r="K167" s="29">
        <f t="shared" si="17"/>
        <v>15.113636363636362</v>
      </c>
      <c r="L167" s="29">
        <v>2.8</v>
      </c>
      <c r="M167" s="29">
        <v>7.1</v>
      </c>
      <c r="N167" s="24"/>
      <c r="O167" s="25" t="s">
        <v>335</v>
      </c>
    </row>
    <row r="168" spans="1:15">
      <c r="A168" s="26" t="s">
        <v>337</v>
      </c>
      <c r="B168" s="23"/>
      <c r="C168" s="23">
        <v>224</v>
      </c>
      <c r="D168" s="23">
        <v>82</v>
      </c>
      <c r="E168" s="23"/>
      <c r="F168" s="23"/>
      <c r="G168" s="29">
        <v>3.7</v>
      </c>
      <c r="H168" s="29"/>
      <c r="I168" s="29"/>
      <c r="J168" s="29"/>
      <c r="K168" s="29"/>
      <c r="L168" s="29">
        <v>3</v>
      </c>
      <c r="M168" s="29">
        <v>3.4</v>
      </c>
      <c r="N168" s="24"/>
      <c r="O168" s="25" t="s">
        <v>335</v>
      </c>
    </row>
    <row r="169" spans="1:15">
      <c r="A169" s="26" t="s">
        <v>337</v>
      </c>
      <c r="B169" s="23"/>
      <c r="C169" s="23">
        <v>302</v>
      </c>
      <c r="D169" s="23">
        <v>128</v>
      </c>
      <c r="E169" s="23"/>
      <c r="F169" s="23"/>
      <c r="G169" s="29">
        <v>5.3</v>
      </c>
      <c r="H169" s="29">
        <v>1.5</v>
      </c>
      <c r="I169" s="29">
        <v>3.8</v>
      </c>
      <c r="J169" s="58">
        <f t="shared" ref="J169:J178" si="18">I169/G169</f>
        <v>0.71698113207547165</v>
      </c>
      <c r="K169" s="29">
        <f t="shared" ref="K169:K178" si="19">D169*0.5/I169</f>
        <v>16.842105263157894</v>
      </c>
      <c r="L169" s="29">
        <v>5.0999999999999996</v>
      </c>
      <c r="M169" s="29">
        <v>6.5</v>
      </c>
      <c r="N169" s="24"/>
      <c r="O169" s="25" t="s">
        <v>335</v>
      </c>
    </row>
    <row r="170" spans="1:15">
      <c r="A170" s="26" t="s">
        <v>337</v>
      </c>
      <c r="B170" s="23"/>
      <c r="C170" s="23">
        <v>237</v>
      </c>
      <c r="D170" s="23">
        <v>165</v>
      </c>
      <c r="E170" s="23"/>
      <c r="F170" s="23"/>
      <c r="G170" s="29">
        <v>5.2</v>
      </c>
      <c r="H170" s="29">
        <v>1.7</v>
      </c>
      <c r="I170" s="29">
        <v>3.5</v>
      </c>
      <c r="J170" s="58">
        <f t="shared" si="18"/>
        <v>0.67307692307692302</v>
      </c>
      <c r="K170" s="29">
        <f t="shared" si="19"/>
        <v>23.571428571428573</v>
      </c>
      <c r="L170" s="29">
        <v>3.4</v>
      </c>
      <c r="M170" s="29">
        <v>5.6</v>
      </c>
      <c r="N170" s="24"/>
      <c r="O170" s="25" t="s">
        <v>335</v>
      </c>
    </row>
    <row r="171" spans="1:15">
      <c r="A171" s="26" t="s">
        <v>337</v>
      </c>
      <c r="B171" s="23"/>
      <c r="C171" s="23">
        <v>196</v>
      </c>
      <c r="D171" s="23">
        <v>193</v>
      </c>
      <c r="E171" s="23"/>
      <c r="F171" s="23"/>
      <c r="G171" s="29">
        <v>4.8</v>
      </c>
      <c r="H171" s="29">
        <v>0.9</v>
      </c>
      <c r="I171" s="29">
        <v>3.9</v>
      </c>
      <c r="J171" s="58">
        <f t="shared" si="18"/>
        <v>0.8125</v>
      </c>
      <c r="K171" s="29">
        <f t="shared" si="19"/>
        <v>24.743589743589745</v>
      </c>
      <c r="L171" s="29">
        <v>3</v>
      </c>
      <c r="M171" s="29">
        <v>11.3</v>
      </c>
      <c r="N171" s="24"/>
      <c r="O171" s="25" t="s">
        <v>335</v>
      </c>
    </row>
    <row r="172" spans="1:15">
      <c r="A172" s="26" t="s">
        <v>337</v>
      </c>
      <c r="B172" s="23"/>
      <c r="C172" s="23">
        <v>247</v>
      </c>
      <c r="D172" s="23">
        <v>186</v>
      </c>
      <c r="E172" s="23"/>
      <c r="F172" s="23"/>
      <c r="G172" s="29">
        <v>5.7</v>
      </c>
      <c r="H172" s="29">
        <v>1.1000000000000001</v>
      </c>
      <c r="I172" s="29">
        <v>4.7</v>
      </c>
      <c r="J172" s="58">
        <f t="shared" si="18"/>
        <v>0.82456140350877194</v>
      </c>
      <c r="K172" s="29">
        <f t="shared" si="19"/>
        <v>19.787234042553191</v>
      </c>
      <c r="L172" s="29">
        <v>2.9</v>
      </c>
      <c r="M172" s="29">
        <v>11.4</v>
      </c>
      <c r="N172" s="24"/>
      <c r="O172" s="25" t="s">
        <v>335</v>
      </c>
    </row>
    <row r="173" spans="1:15">
      <c r="A173" s="26" t="s">
        <v>337</v>
      </c>
      <c r="B173" s="23"/>
      <c r="C173" s="23">
        <v>180</v>
      </c>
      <c r="D173" s="23">
        <v>114</v>
      </c>
      <c r="E173" s="23"/>
      <c r="F173" s="23"/>
      <c r="G173" s="29">
        <v>5</v>
      </c>
      <c r="H173" s="29">
        <v>0.2</v>
      </c>
      <c r="I173" s="29">
        <v>4.8</v>
      </c>
      <c r="J173" s="58">
        <f t="shared" si="18"/>
        <v>0.96</v>
      </c>
      <c r="K173" s="29">
        <f t="shared" si="19"/>
        <v>11.875</v>
      </c>
      <c r="L173" s="29">
        <v>3.1</v>
      </c>
      <c r="M173" s="29">
        <v>15</v>
      </c>
      <c r="N173" s="24"/>
      <c r="O173" s="25" t="s">
        <v>335</v>
      </c>
    </row>
    <row r="174" spans="1:15">
      <c r="A174" s="26" t="s">
        <v>337</v>
      </c>
      <c r="B174" s="23"/>
      <c r="C174" s="23">
        <v>358</v>
      </c>
      <c r="D174" s="23">
        <v>78</v>
      </c>
      <c r="E174" s="23"/>
      <c r="F174" s="23"/>
      <c r="G174" s="29">
        <v>4</v>
      </c>
      <c r="H174" s="29">
        <v>0.8</v>
      </c>
      <c r="I174" s="29">
        <v>3.2</v>
      </c>
      <c r="J174" s="58">
        <f t="shared" si="18"/>
        <v>0.8</v>
      </c>
      <c r="K174" s="29">
        <f t="shared" si="19"/>
        <v>12.1875</v>
      </c>
      <c r="L174" s="29">
        <v>2.6</v>
      </c>
      <c r="M174" s="29">
        <v>7.4</v>
      </c>
      <c r="N174" s="24"/>
      <c r="O174" s="25" t="s">
        <v>335</v>
      </c>
    </row>
    <row r="175" spans="1:15">
      <c r="A175" s="26" t="s">
        <v>337</v>
      </c>
      <c r="B175" s="23"/>
      <c r="C175" s="23">
        <v>247</v>
      </c>
      <c r="D175" s="23">
        <v>122</v>
      </c>
      <c r="E175" s="23"/>
      <c r="F175" s="23"/>
      <c r="G175" s="29">
        <v>5.0999999999999996</v>
      </c>
      <c r="H175" s="29">
        <v>0.7</v>
      </c>
      <c r="I175" s="29">
        <v>4.4000000000000004</v>
      </c>
      <c r="J175" s="58">
        <f t="shared" si="18"/>
        <v>0.86274509803921584</v>
      </c>
      <c r="K175" s="29">
        <f t="shared" si="19"/>
        <v>13.863636363636363</v>
      </c>
      <c r="L175" s="29">
        <v>3.1</v>
      </c>
      <c r="M175" s="29">
        <v>7</v>
      </c>
      <c r="N175" s="24"/>
      <c r="O175" s="25" t="s">
        <v>335</v>
      </c>
    </row>
    <row r="176" spans="1:15">
      <c r="A176" s="26" t="s">
        <v>337</v>
      </c>
      <c r="B176" s="23"/>
      <c r="C176" s="23">
        <v>195</v>
      </c>
      <c r="D176" s="23">
        <v>147</v>
      </c>
      <c r="E176" s="23"/>
      <c r="F176" s="23"/>
      <c r="G176" s="29">
        <v>4.5</v>
      </c>
      <c r="H176" s="29">
        <v>0.5</v>
      </c>
      <c r="I176" s="29">
        <v>4</v>
      </c>
      <c r="J176" s="58">
        <f t="shared" si="18"/>
        <v>0.88888888888888884</v>
      </c>
      <c r="K176" s="29">
        <f t="shared" si="19"/>
        <v>18.375</v>
      </c>
      <c r="L176" s="29">
        <v>1.6</v>
      </c>
      <c r="M176" s="29">
        <v>9</v>
      </c>
      <c r="N176" s="24"/>
      <c r="O176" s="25" t="s">
        <v>335</v>
      </c>
    </row>
    <row r="177" spans="1:15">
      <c r="A177" s="26" t="s">
        <v>337</v>
      </c>
      <c r="B177" s="23"/>
      <c r="C177" s="23">
        <v>332</v>
      </c>
      <c r="D177" s="23">
        <v>143</v>
      </c>
      <c r="E177" s="23"/>
      <c r="F177" s="23"/>
      <c r="G177" s="29">
        <v>6.9</v>
      </c>
      <c r="H177" s="29">
        <v>1.4</v>
      </c>
      <c r="I177" s="29">
        <v>5.6</v>
      </c>
      <c r="J177" s="58">
        <f t="shared" si="18"/>
        <v>0.81159420289855067</v>
      </c>
      <c r="K177" s="29">
        <f t="shared" si="19"/>
        <v>12.767857142857144</v>
      </c>
      <c r="L177" s="29">
        <v>5.7</v>
      </c>
      <c r="M177" s="29">
        <v>7.8</v>
      </c>
      <c r="N177" s="24"/>
      <c r="O177" s="25" t="s">
        <v>335</v>
      </c>
    </row>
    <row r="178" spans="1:15">
      <c r="A178" s="26" t="s">
        <v>337</v>
      </c>
      <c r="B178" s="23"/>
      <c r="C178" s="23">
        <v>203</v>
      </c>
      <c r="D178" s="23">
        <v>114</v>
      </c>
      <c r="E178" s="23"/>
      <c r="F178" s="23"/>
      <c r="G178" s="29">
        <v>5.0999999999999996</v>
      </c>
      <c r="H178" s="29">
        <v>1.5</v>
      </c>
      <c r="I178" s="29">
        <v>3.6</v>
      </c>
      <c r="J178" s="58">
        <f t="shared" si="18"/>
        <v>0.70588235294117652</v>
      </c>
      <c r="K178" s="29">
        <f t="shared" si="19"/>
        <v>15.833333333333332</v>
      </c>
      <c r="L178" s="29">
        <v>3</v>
      </c>
      <c r="M178" s="29">
        <v>5.4</v>
      </c>
      <c r="N178" s="24"/>
      <c r="O178" s="25" t="s">
        <v>335</v>
      </c>
    </row>
    <row r="179" spans="1:15">
      <c r="A179" s="26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4"/>
      <c r="O179" s="25"/>
    </row>
    <row r="180" spans="1:15">
      <c r="A180" s="56" t="s">
        <v>352</v>
      </c>
      <c r="B180" s="23"/>
      <c r="C180" s="57">
        <f>AVERAGE(C159:C178)</f>
        <v>235.85</v>
      </c>
      <c r="D180" s="57">
        <f>AVERAGE(D159:D178)</f>
        <v>139.75</v>
      </c>
      <c r="E180" s="23"/>
      <c r="F180" s="23"/>
      <c r="G180" s="29">
        <f t="shared" ref="G180:M180" si="20">AVERAGE(G159:G178)</f>
        <v>5.4099999999999993</v>
      </c>
      <c r="H180" s="29">
        <f t="shared" si="20"/>
        <v>0.99374999999999991</v>
      </c>
      <c r="I180" s="29">
        <f t="shared" si="20"/>
        <v>4.4062499999999991</v>
      </c>
      <c r="J180" s="58">
        <f t="shared" si="20"/>
        <v>0.81868894689431915</v>
      </c>
      <c r="K180" s="29">
        <f t="shared" si="20"/>
        <v>16.115034331046619</v>
      </c>
      <c r="L180" s="29">
        <f t="shared" si="20"/>
        <v>3.2350000000000003</v>
      </c>
      <c r="M180" s="29">
        <f t="shared" si="20"/>
        <v>8.7277777777777796</v>
      </c>
      <c r="N180" s="24"/>
      <c r="O180" s="25"/>
    </row>
    <row r="181" spans="1:15">
      <c r="A181" s="56" t="s">
        <v>177</v>
      </c>
      <c r="B181" s="23"/>
      <c r="C181" s="57">
        <f>_xlfn.STDEV.S(C159:C178)</f>
        <v>53.110882025002056</v>
      </c>
      <c r="D181" s="57">
        <f>_xlfn.STDEV.S(D159:D178)</f>
        <v>34.663609008204617</v>
      </c>
      <c r="E181" s="23"/>
      <c r="F181" s="23"/>
      <c r="G181" s="29">
        <f t="shared" ref="G181:M181" si="21">_xlfn.STDEV.S(G159:G178)</f>
        <v>0.9678516632755606</v>
      </c>
      <c r="H181" s="29">
        <f t="shared" si="21"/>
        <v>0.45966473289416826</v>
      </c>
      <c r="I181" s="29">
        <f t="shared" si="21"/>
        <v>0.87137343697560365</v>
      </c>
      <c r="J181" s="58">
        <f t="shared" si="21"/>
        <v>7.9222485637583523E-2</v>
      </c>
      <c r="K181" s="29">
        <f t="shared" si="21"/>
        <v>4.0979439850276433</v>
      </c>
      <c r="L181" s="29">
        <f t="shared" si="21"/>
        <v>1.0027724724876266</v>
      </c>
      <c r="M181" s="29">
        <f t="shared" si="21"/>
        <v>3.1345898606948923</v>
      </c>
      <c r="N181" s="24"/>
      <c r="O181" s="25"/>
    </row>
    <row r="182" spans="1:15">
      <c r="A182" s="26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4"/>
      <c r="O182" s="25"/>
    </row>
    <row r="183" spans="1:15">
      <c r="A183" s="26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4"/>
      <c r="O183" s="25"/>
    </row>
    <row r="184" spans="1:15">
      <c r="A184" s="22" t="s">
        <v>154</v>
      </c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4"/>
      <c r="O184" s="25"/>
    </row>
    <row r="185" spans="1:15">
      <c r="A185" s="27" t="s">
        <v>336</v>
      </c>
      <c r="B185" s="23"/>
      <c r="C185" s="23">
        <v>226</v>
      </c>
      <c r="D185" s="23">
        <v>167</v>
      </c>
      <c r="E185" s="23"/>
      <c r="F185" s="23"/>
      <c r="G185" s="29">
        <v>8.4</v>
      </c>
      <c r="H185" s="23"/>
      <c r="I185" s="23"/>
      <c r="J185" s="23"/>
      <c r="K185" s="23"/>
      <c r="L185" s="29">
        <v>4.5</v>
      </c>
      <c r="M185" s="29">
        <v>15.9</v>
      </c>
      <c r="N185" s="24"/>
      <c r="O185" s="25" t="s">
        <v>335</v>
      </c>
    </row>
    <row r="186" spans="1:15">
      <c r="A186" s="27" t="s">
        <v>336</v>
      </c>
      <c r="B186" s="23"/>
      <c r="C186" s="23">
        <v>247</v>
      </c>
      <c r="D186" s="23">
        <v>184</v>
      </c>
      <c r="E186" s="23"/>
      <c r="F186" s="23"/>
      <c r="G186" s="29">
        <v>5.7</v>
      </c>
      <c r="H186" s="23">
        <v>0.7</v>
      </c>
      <c r="I186" s="29">
        <f>G186-H186</f>
        <v>5</v>
      </c>
      <c r="J186" s="58">
        <f>I186/G186</f>
        <v>0.8771929824561403</v>
      </c>
      <c r="K186" s="29">
        <f>D186*0.5/I186</f>
        <v>18.399999999999999</v>
      </c>
      <c r="L186" s="29">
        <v>3.6</v>
      </c>
      <c r="M186" s="29">
        <v>10.1</v>
      </c>
      <c r="N186" s="24"/>
      <c r="O186" s="25" t="s">
        <v>335</v>
      </c>
    </row>
    <row r="187" spans="1:15">
      <c r="A187" s="27" t="s">
        <v>336</v>
      </c>
      <c r="B187" s="23"/>
      <c r="C187" s="23">
        <v>301</v>
      </c>
      <c r="D187" s="23">
        <v>175</v>
      </c>
      <c r="E187" s="23"/>
      <c r="F187" s="23"/>
      <c r="G187" s="29">
        <v>5.6</v>
      </c>
      <c r="H187" s="23"/>
      <c r="I187" s="23"/>
      <c r="J187" s="23"/>
      <c r="K187" s="23"/>
      <c r="L187" s="29">
        <v>2.7</v>
      </c>
      <c r="M187" s="29">
        <v>13</v>
      </c>
      <c r="N187" s="24"/>
      <c r="O187" s="25" t="s">
        <v>334</v>
      </c>
    </row>
    <row r="188" spans="1:15">
      <c r="A188" s="27" t="s">
        <v>336</v>
      </c>
      <c r="B188" s="23"/>
      <c r="C188" s="23">
        <v>158</v>
      </c>
      <c r="D188" s="23">
        <v>118</v>
      </c>
      <c r="E188" s="23"/>
      <c r="F188" s="23"/>
      <c r="G188" s="29">
        <v>5.3</v>
      </c>
      <c r="H188" s="23"/>
      <c r="I188" s="23"/>
      <c r="J188" s="23"/>
      <c r="K188" s="23"/>
      <c r="L188" s="29">
        <v>3.6</v>
      </c>
      <c r="M188" s="29">
        <v>10.6</v>
      </c>
      <c r="N188" s="24"/>
      <c r="O188" s="25" t="s">
        <v>335</v>
      </c>
    </row>
    <row r="189" spans="1:15">
      <c r="A189" s="27" t="s">
        <v>336</v>
      </c>
      <c r="B189" s="23"/>
      <c r="C189" s="23">
        <v>296</v>
      </c>
      <c r="D189" s="23">
        <v>235</v>
      </c>
      <c r="E189" s="23"/>
      <c r="F189" s="23"/>
      <c r="G189" s="29">
        <v>7</v>
      </c>
      <c r="H189" s="23">
        <v>1.1000000000000001</v>
      </c>
      <c r="I189" s="23">
        <v>5.8</v>
      </c>
      <c r="J189" s="58">
        <f>I189/G189</f>
        <v>0.82857142857142851</v>
      </c>
      <c r="K189" s="29">
        <f>D189*0.5/I189</f>
        <v>20.258620689655174</v>
      </c>
      <c r="L189" s="29">
        <v>3.2</v>
      </c>
      <c r="M189" s="29">
        <v>15.3</v>
      </c>
      <c r="N189" s="24"/>
      <c r="O189" s="25" t="s">
        <v>335</v>
      </c>
    </row>
    <row r="190" spans="1:15">
      <c r="A190" s="27" t="s">
        <v>336</v>
      </c>
      <c r="B190" s="23"/>
      <c r="C190" s="23">
        <v>288</v>
      </c>
      <c r="D190" s="23">
        <v>187</v>
      </c>
      <c r="E190" s="23"/>
      <c r="F190" s="23"/>
      <c r="G190" s="29">
        <v>6.9</v>
      </c>
      <c r="H190" s="23"/>
      <c r="I190" s="23"/>
      <c r="J190" s="23"/>
      <c r="K190" s="23"/>
      <c r="L190" s="29">
        <v>3.6</v>
      </c>
      <c r="M190" s="29">
        <v>6.6</v>
      </c>
      <c r="N190" s="24"/>
      <c r="O190" s="25" t="s">
        <v>334</v>
      </c>
    </row>
    <row r="191" spans="1:15">
      <c r="A191" s="27" t="s">
        <v>336</v>
      </c>
      <c r="B191" s="23"/>
      <c r="C191" s="23">
        <v>249</v>
      </c>
      <c r="D191" s="23">
        <v>133</v>
      </c>
      <c r="E191" s="23"/>
      <c r="F191" s="23"/>
      <c r="G191" s="29">
        <v>6.3</v>
      </c>
      <c r="H191" s="23">
        <v>2.2000000000000002</v>
      </c>
      <c r="I191" s="23">
        <v>4.0999999999999996</v>
      </c>
      <c r="J191" s="58">
        <f>I191/G191</f>
        <v>0.6507936507936507</v>
      </c>
      <c r="K191" s="29">
        <f>D191*0.5/I191</f>
        <v>16.219512195121954</v>
      </c>
      <c r="L191" s="29">
        <v>1.9</v>
      </c>
      <c r="M191" s="29">
        <v>12.6</v>
      </c>
      <c r="N191" s="24"/>
      <c r="O191" s="25" t="s">
        <v>335</v>
      </c>
    </row>
    <row r="192" spans="1:15">
      <c r="A192" s="27" t="s">
        <v>336</v>
      </c>
      <c r="B192" s="23"/>
      <c r="C192" s="23">
        <v>224</v>
      </c>
      <c r="D192" s="23">
        <v>160</v>
      </c>
      <c r="E192" s="23"/>
      <c r="F192" s="23"/>
      <c r="G192" s="29">
        <v>5</v>
      </c>
      <c r="H192" s="23"/>
      <c r="I192" s="23"/>
      <c r="J192" s="23"/>
      <c r="K192" s="23"/>
      <c r="L192" s="29">
        <v>2.8</v>
      </c>
      <c r="M192" s="29">
        <v>10.65</v>
      </c>
      <c r="N192" s="24"/>
      <c r="O192" s="25" t="s">
        <v>334</v>
      </c>
    </row>
    <row r="193" spans="1:15">
      <c r="A193" s="27" t="s">
        <v>336</v>
      </c>
      <c r="B193" s="23"/>
      <c r="C193" s="23">
        <v>263</v>
      </c>
      <c r="D193" s="23">
        <v>183</v>
      </c>
      <c r="E193" s="23"/>
      <c r="F193" s="23"/>
      <c r="G193" s="29">
        <v>6.48</v>
      </c>
      <c r="H193" s="23">
        <v>1.9</v>
      </c>
      <c r="I193" s="23">
        <v>4.5999999999999996</v>
      </c>
      <c r="J193" s="58">
        <f>I193/G193</f>
        <v>0.70987654320987648</v>
      </c>
      <c r="K193" s="29">
        <f>D193*0.5/I193</f>
        <v>19.89130434782609</v>
      </c>
      <c r="L193" s="29">
        <v>3.49</v>
      </c>
      <c r="M193" s="29">
        <v>12.6</v>
      </c>
      <c r="N193" s="24"/>
      <c r="O193" s="25" t="s">
        <v>335</v>
      </c>
    </row>
    <row r="194" spans="1:15">
      <c r="A194" s="27" t="s">
        <v>336</v>
      </c>
      <c r="B194" s="23"/>
      <c r="C194" s="23">
        <v>227</v>
      </c>
      <c r="D194" s="23">
        <v>175</v>
      </c>
      <c r="E194" s="23"/>
      <c r="F194" s="23"/>
      <c r="G194" s="29">
        <v>6.34</v>
      </c>
      <c r="H194" s="23">
        <v>2.2000000000000002</v>
      </c>
      <c r="I194" s="23">
        <v>4.0999999999999996</v>
      </c>
      <c r="J194" s="58">
        <f>I194/G194</f>
        <v>0.64668769716088326</v>
      </c>
      <c r="K194" s="29">
        <f>D194*0.5/I194</f>
        <v>21.341463414634148</v>
      </c>
      <c r="L194" s="29">
        <v>2.76</v>
      </c>
      <c r="M194" s="29">
        <v>11.5</v>
      </c>
      <c r="N194" s="24"/>
      <c r="O194" s="25" t="s">
        <v>335</v>
      </c>
    </row>
    <row r="195" spans="1:15">
      <c r="A195" s="27" t="s">
        <v>336</v>
      </c>
      <c r="B195" s="23"/>
      <c r="C195" s="23">
        <v>210</v>
      </c>
      <c r="D195" s="23">
        <v>153</v>
      </c>
      <c r="E195" s="23"/>
      <c r="F195" s="23"/>
      <c r="G195" s="29">
        <v>5.9</v>
      </c>
      <c r="H195" s="23"/>
      <c r="I195" s="23"/>
      <c r="J195" s="23"/>
      <c r="K195" s="23"/>
      <c r="L195" s="29">
        <v>3.16</v>
      </c>
      <c r="M195" s="29">
        <v>7.2</v>
      </c>
      <c r="N195" s="24"/>
      <c r="O195" s="25" t="s">
        <v>334</v>
      </c>
    </row>
    <row r="196" spans="1:15">
      <c r="A196" s="27" t="s">
        <v>336</v>
      </c>
      <c r="B196" s="23"/>
      <c r="C196" s="23">
        <v>200</v>
      </c>
      <c r="D196" s="23">
        <v>130</v>
      </c>
      <c r="E196" s="23"/>
      <c r="F196" s="23"/>
      <c r="G196" s="29">
        <v>4.34</v>
      </c>
      <c r="H196" s="23"/>
      <c r="I196" s="23"/>
      <c r="J196" s="23"/>
      <c r="K196" s="23"/>
      <c r="L196" s="29">
        <v>2.5</v>
      </c>
      <c r="M196" s="29">
        <v>8.6999999999999993</v>
      </c>
      <c r="N196" s="24"/>
      <c r="O196" s="25" t="s">
        <v>334</v>
      </c>
    </row>
    <row r="197" spans="1:15">
      <c r="A197" s="27" t="s">
        <v>336</v>
      </c>
      <c r="B197" s="23"/>
      <c r="C197" s="23">
        <v>210</v>
      </c>
      <c r="D197" s="23">
        <v>180</v>
      </c>
      <c r="E197" s="23"/>
      <c r="F197" s="23"/>
      <c r="G197" s="29">
        <v>5.43</v>
      </c>
      <c r="H197" s="23"/>
      <c r="I197" s="23"/>
      <c r="J197" s="23"/>
      <c r="K197" s="23"/>
      <c r="L197" s="29">
        <v>2.0499999999999998</v>
      </c>
      <c r="M197" s="29">
        <v>5.0999999999999996</v>
      </c>
      <c r="N197" s="24"/>
      <c r="O197" s="25" t="s">
        <v>334</v>
      </c>
    </row>
    <row r="198" spans="1:15">
      <c r="A198" s="27" t="s">
        <v>336</v>
      </c>
      <c r="B198" s="23"/>
      <c r="C198" s="23">
        <v>338</v>
      </c>
      <c r="D198" s="23">
        <v>251</v>
      </c>
      <c r="E198" s="23"/>
      <c r="F198" s="23"/>
      <c r="G198" s="29">
        <v>9.66</v>
      </c>
      <c r="H198" s="23"/>
      <c r="I198" s="23"/>
      <c r="J198" s="23"/>
      <c r="K198" s="23"/>
      <c r="L198" s="29">
        <v>5.82</v>
      </c>
      <c r="M198" s="29">
        <v>15.5</v>
      </c>
      <c r="N198" s="24"/>
      <c r="O198" s="25" t="s">
        <v>334</v>
      </c>
    </row>
    <row r="199" spans="1:15">
      <c r="A199" s="27" t="s">
        <v>336</v>
      </c>
      <c r="B199" s="23"/>
      <c r="C199" s="23">
        <v>313</v>
      </c>
      <c r="D199" s="23">
        <v>197</v>
      </c>
      <c r="E199" s="23"/>
      <c r="F199" s="23"/>
      <c r="G199" s="29">
        <v>7.64</v>
      </c>
      <c r="H199" s="23"/>
      <c r="I199" s="23"/>
      <c r="J199" s="23"/>
      <c r="K199" s="23"/>
      <c r="L199" s="29">
        <v>3.62</v>
      </c>
      <c r="M199" s="29">
        <v>17.2</v>
      </c>
      <c r="N199" s="24"/>
      <c r="O199" s="25" t="s">
        <v>334</v>
      </c>
    </row>
    <row r="200" spans="1:15">
      <c r="A200" s="27" t="s">
        <v>165</v>
      </c>
      <c r="B200" s="23"/>
      <c r="C200" s="23">
        <v>164</v>
      </c>
      <c r="D200" s="23">
        <v>133</v>
      </c>
      <c r="E200" s="23"/>
      <c r="F200" s="23"/>
      <c r="G200" s="23">
        <v>5.4</v>
      </c>
      <c r="H200" s="23">
        <v>1.3</v>
      </c>
      <c r="I200" s="23">
        <v>4.0999999999999996</v>
      </c>
      <c r="J200" s="58">
        <f>I200/G200</f>
        <v>0.75925925925925919</v>
      </c>
      <c r="K200" s="29">
        <f>D200*0.5/I200</f>
        <v>16.219512195121954</v>
      </c>
      <c r="L200" s="23">
        <v>2.1</v>
      </c>
      <c r="M200" s="23">
        <v>6.7</v>
      </c>
      <c r="N200" s="24"/>
      <c r="O200" s="28" t="s">
        <v>166</v>
      </c>
    </row>
    <row r="201" spans="1:15">
      <c r="A201" s="27" t="s">
        <v>165</v>
      </c>
      <c r="B201" s="23"/>
      <c r="C201" s="23">
        <v>197</v>
      </c>
      <c r="D201" s="23">
        <v>101</v>
      </c>
      <c r="E201" s="23"/>
      <c r="F201" s="23"/>
      <c r="G201" s="23">
        <v>3.9</v>
      </c>
      <c r="H201" s="23">
        <v>0.8</v>
      </c>
      <c r="I201" s="23">
        <v>3.1</v>
      </c>
      <c r="J201" s="58">
        <f t="shared" ref="J201:J210" si="22">I201/G201</f>
        <v>0.79487179487179493</v>
      </c>
      <c r="K201" s="29">
        <f t="shared" ref="K201:K210" si="23">D201*0.5/I201</f>
        <v>16.29032258064516</v>
      </c>
      <c r="L201" s="23">
        <v>2.2999999999999998</v>
      </c>
      <c r="M201" s="23">
        <v>6.9</v>
      </c>
      <c r="N201" s="24"/>
      <c r="O201" s="28" t="s">
        <v>167</v>
      </c>
    </row>
    <row r="202" spans="1:15">
      <c r="A202" s="27" t="s">
        <v>165</v>
      </c>
      <c r="B202" s="23"/>
      <c r="C202" s="23">
        <v>173</v>
      </c>
      <c r="D202" s="23">
        <v>131</v>
      </c>
      <c r="E202" s="23"/>
      <c r="F202" s="23"/>
      <c r="G202" s="23">
        <v>4.4000000000000004</v>
      </c>
      <c r="H202" s="23">
        <v>1.7</v>
      </c>
      <c r="I202" s="23">
        <v>2.7</v>
      </c>
      <c r="J202" s="58">
        <f t="shared" si="22"/>
        <v>0.61363636363636365</v>
      </c>
      <c r="K202" s="29">
        <f t="shared" si="23"/>
        <v>24.259259259259256</v>
      </c>
      <c r="L202" s="29">
        <v>2</v>
      </c>
      <c r="M202" s="23">
        <v>6.9</v>
      </c>
      <c r="N202" s="24"/>
      <c r="O202" s="28" t="s">
        <v>168</v>
      </c>
    </row>
    <row r="203" spans="1:15">
      <c r="A203" s="27" t="s">
        <v>165</v>
      </c>
      <c r="B203" s="23"/>
      <c r="C203" s="23">
        <v>270</v>
      </c>
      <c r="D203" s="23">
        <v>201</v>
      </c>
      <c r="E203" s="23"/>
      <c r="F203" s="23"/>
      <c r="G203" s="23">
        <v>5.8</v>
      </c>
      <c r="H203" s="23">
        <v>0.6</v>
      </c>
      <c r="I203" s="23">
        <v>5.2</v>
      </c>
      <c r="J203" s="58">
        <f t="shared" si="22"/>
        <v>0.89655172413793105</v>
      </c>
      <c r="K203" s="29">
        <f t="shared" si="23"/>
        <v>19.326923076923077</v>
      </c>
      <c r="L203" s="23">
        <v>1.8</v>
      </c>
      <c r="M203" s="23">
        <v>5.5</v>
      </c>
      <c r="N203" s="24"/>
      <c r="O203" s="28" t="s">
        <v>169</v>
      </c>
    </row>
    <row r="204" spans="1:15">
      <c r="A204" s="27" t="s">
        <v>165</v>
      </c>
      <c r="B204" s="23"/>
      <c r="C204" s="23">
        <v>324</v>
      </c>
      <c r="D204" s="23">
        <v>120</v>
      </c>
      <c r="E204" s="23"/>
      <c r="F204" s="23"/>
      <c r="G204" s="23">
        <v>6.5</v>
      </c>
      <c r="H204" s="23">
        <v>0.3</v>
      </c>
      <c r="I204" s="23">
        <v>6.2</v>
      </c>
      <c r="J204" s="58">
        <f t="shared" si="22"/>
        <v>0.9538461538461539</v>
      </c>
      <c r="K204" s="29">
        <f t="shared" si="23"/>
        <v>9.67741935483871</v>
      </c>
      <c r="L204" s="23">
        <v>5.0999999999999996</v>
      </c>
      <c r="M204" s="23">
        <v>10.1</v>
      </c>
      <c r="N204" s="24"/>
      <c r="O204" s="28" t="s">
        <v>170</v>
      </c>
    </row>
    <row r="205" spans="1:15">
      <c r="A205" s="27" t="s">
        <v>165</v>
      </c>
      <c r="B205" s="23"/>
      <c r="C205" s="25">
        <v>260</v>
      </c>
      <c r="D205">
        <v>195</v>
      </c>
      <c r="G205">
        <v>4.3</v>
      </c>
      <c r="H205">
        <v>0.4</v>
      </c>
      <c r="I205">
        <v>3.9</v>
      </c>
      <c r="J205" s="58">
        <f t="shared" si="22"/>
        <v>0.90697674418604657</v>
      </c>
      <c r="K205" s="29">
        <f t="shared" si="23"/>
        <v>25</v>
      </c>
      <c r="L205">
        <v>1.6</v>
      </c>
      <c r="M205">
        <v>5.2</v>
      </c>
      <c r="N205" s="24"/>
      <c r="O205" s="28" t="s">
        <v>171</v>
      </c>
    </row>
    <row r="206" spans="1:15">
      <c r="A206" s="27" t="s">
        <v>165</v>
      </c>
      <c r="B206" s="23"/>
      <c r="C206" s="23">
        <v>282</v>
      </c>
      <c r="D206" s="23">
        <v>182</v>
      </c>
      <c r="E206" s="23"/>
      <c r="F206" s="23"/>
      <c r="G206" s="23">
        <v>6.2</v>
      </c>
      <c r="H206" s="23">
        <v>1.4</v>
      </c>
      <c r="I206" s="23">
        <v>4.8</v>
      </c>
      <c r="J206" s="58">
        <f t="shared" si="22"/>
        <v>0.77419354838709675</v>
      </c>
      <c r="K206" s="29">
        <f t="shared" si="23"/>
        <v>18.958333333333336</v>
      </c>
      <c r="L206" s="23">
        <v>4.2</v>
      </c>
      <c r="M206" s="23">
        <v>8.4</v>
      </c>
      <c r="N206" s="24"/>
      <c r="O206" s="28" t="s">
        <v>172</v>
      </c>
    </row>
    <row r="207" spans="1:15">
      <c r="A207" s="27" t="s">
        <v>165</v>
      </c>
      <c r="B207" s="23"/>
      <c r="C207" s="23">
        <v>295</v>
      </c>
      <c r="D207" s="23">
        <v>196</v>
      </c>
      <c r="E207" s="23"/>
      <c r="F207" s="23"/>
      <c r="G207" s="23">
        <v>7.4</v>
      </c>
      <c r="H207" s="23">
        <v>1.4</v>
      </c>
      <c r="I207" s="29">
        <v>6</v>
      </c>
      <c r="J207" s="58">
        <f t="shared" si="22"/>
        <v>0.81081081081081074</v>
      </c>
      <c r="K207" s="29">
        <f t="shared" si="23"/>
        <v>16.333333333333332</v>
      </c>
      <c r="L207" s="23">
        <v>3.8</v>
      </c>
      <c r="M207" s="23">
        <v>9.1999999999999993</v>
      </c>
      <c r="N207" s="24"/>
      <c r="O207" s="28" t="s">
        <v>173</v>
      </c>
    </row>
    <row r="208" spans="1:15">
      <c r="A208" s="27" t="s">
        <v>165</v>
      </c>
      <c r="B208" s="23"/>
      <c r="C208" s="23">
        <v>280</v>
      </c>
      <c r="D208" s="23">
        <v>191</v>
      </c>
      <c r="E208" s="23"/>
      <c r="F208" s="23"/>
      <c r="G208" s="23">
        <v>7.9</v>
      </c>
      <c r="H208" s="23">
        <v>2.1</v>
      </c>
      <c r="I208" s="23">
        <v>5.8</v>
      </c>
      <c r="J208" s="58">
        <f t="shared" si="22"/>
        <v>0.73417721518987333</v>
      </c>
      <c r="K208" s="29">
        <f t="shared" si="23"/>
        <v>16.46551724137931</v>
      </c>
      <c r="L208" s="23">
        <v>4.3</v>
      </c>
      <c r="M208" s="23">
        <v>9.8000000000000007</v>
      </c>
      <c r="N208" s="24"/>
      <c r="O208" s="28" t="s">
        <v>174</v>
      </c>
    </row>
    <row r="209" spans="1:15">
      <c r="A209" s="27" t="s">
        <v>165</v>
      </c>
      <c r="B209" s="23"/>
      <c r="C209" s="23">
        <v>164</v>
      </c>
      <c r="D209" s="23">
        <v>135</v>
      </c>
      <c r="E209" s="23"/>
      <c r="F209" s="23"/>
      <c r="G209" s="23">
        <v>3.5</v>
      </c>
      <c r="H209" s="23">
        <v>0.7</v>
      </c>
      <c r="I209" s="23">
        <v>2.8</v>
      </c>
      <c r="J209" s="58">
        <f t="shared" si="22"/>
        <v>0.79999999999999993</v>
      </c>
      <c r="K209" s="29">
        <f t="shared" si="23"/>
        <v>24.107142857142858</v>
      </c>
      <c r="L209" s="23">
        <v>1.5</v>
      </c>
      <c r="M209" s="23">
        <v>6.4</v>
      </c>
      <c r="N209" s="24"/>
      <c r="O209" s="28" t="s">
        <v>175</v>
      </c>
    </row>
    <row r="210" spans="1:15">
      <c r="A210" s="27" t="s">
        <v>165</v>
      </c>
      <c r="B210" s="23"/>
      <c r="C210" s="23">
        <v>262</v>
      </c>
      <c r="D210" s="23">
        <v>138</v>
      </c>
      <c r="E210" s="23"/>
      <c r="F210" s="23"/>
      <c r="G210" s="23">
        <v>6.9</v>
      </c>
      <c r="H210" s="23">
        <v>0.8</v>
      </c>
      <c r="I210" s="23">
        <v>6.1</v>
      </c>
      <c r="J210" s="58">
        <f t="shared" si="22"/>
        <v>0.88405797101449268</v>
      </c>
      <c r="K210" s="29">
        <f t="shared" si="23"/>
        <v>11.311475409836067</v>
      </c>
      <c r="L210" s="23">
        <v>3.3</v>
      </c>
      <c r="M210" s="23">
        <v>8.6999999999999993</v>
      </c>
      <c r="N210" s="24"/>
      <c r="O210" s="28" t="s">
        <v>176</v>
      </c>
    </row>
    <row r="211" spans="1:15">
      <c r="A211" s="27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4"/>
      <c r="O211" s="28"/>
    </row>
    <row r="212" spans="1:15">
      <c r="A212" s="56" t="s">
        <v>211</v>
      </c>
      <c r="B212" s="23"/>
      <c r="C212" s="57">
        <f t="shared" ref="C212:D212" si="24">AVERAGE(C186,C189,C191,C193:C194,C200:C210)</f>
        <v>247.0625</v>
      </c>
      <c r="D212" s="57">
        <f t="shared" si="24"/>
        <v>164.5625</v>
      </c>
      <c r="E212" s="23"/>
      <c r="F212" s="23"/>
      <c r="G212" s="29">
        <f>AVERAGE(G186,G189,G191,G193:G194,G200:G210)</f>
        <v>5.8762500000000006</v>
      </c>
      <c r="H212" s="29">
        <f>AVERAGE(H186,H189,H191,H193:H194,H200:H210)</f>
        <v>1.2250000000000003</v>
      </c>
      <c r="I212" s="29">
        <f>AVERAGE(I186,I189,I191,I193:I194,I200:I210)</f>
        <v>4.6437499999999998</v>
      </c>
      <c r="J212" s="58">
        <f t="shared" ref="J212:J213" si="25">I212/G212</f>
        <v>0.79025739204424583</v>
      </c>
      <c r="K212" s="29">
        <f t="shared" ref="K212:K213" si="26">D212*0.5/I212</f>
        <v>17.718707940780618</v>
      </c>
      <c r="L212" s="29"/>
      <c r="M212" s="29"/>
      <c r="N212" s="24"/>
      <c r="O212" s="28"/>
    </row>
    <row r="213" spans="1:15">
      <c r="A213" s="56" t="s">
        <v>211</v>
      </c>
      <c r="B213" s="23"/>
      <c r="C213" s="57">
        <f>AVERAGE(C185:C210)</f>
        <v>246.96153846153845</v>
      </c>
      <c r="D213" s="57">
        <f>AVERAGE(D185:D210)</f>
        <v>167.34615384615384</v>
      </c>
      <c r="E213" s="23"/>
      <c r="F213" s="23"/>
      <c r="G213" s="29">
        <f>AVERAGE(G185:G210)</f>
        <v>6.0842307692307704</v>
      </c>
      <c r="H213" s="29">
        <f>H212*G213/G212</f>
        <v>1.2683569780570423</v>
      </c>
      <c r="I213" s="29">
        <f>I212*G213/G212</f>
        <v>4.8081083402876645</v>
      </c>
      <c r="J213" s="58">
        <f t="shared" si="25"/>
        <v>0.79025739204424583</v>
      </c>
      <c r="K213" s="29">
        <f t="shared" si="26"/>
        <v>17.402494079006306</v>
      </c>
      <c r="L213" s="29">
        <f>AVERAGE(L185:L210)</f>
        <v>3.1269230769230765</v>
      </c>
      <c r="M213" s="29">
        <f>AVERAGE(M185:M210)</f>
        <v>9.8596153846153829</v>
      </c>
      <c r="N213" s="24"/>
      <c r="O213" s="28"/>
    </row>
    <row r="214" spans="1:15">
      <c r="A214" s="56" t="s">
        <v>177</v>
      </c>
      <c r="B214" s="23"/>
      <c r="C214" s="57">
        <f>_xlfn.STDEV.S(C185:C210)</f>
        <v>51.90643949972354</v>
      </c>
      <c r="D214" s="57">
        <f>_xlfn.STDEV.S(D185:D210)</f>
        <v>36.580806232440871</v>
      </c>
      <c r="E214" s="23"/>
      <c r="F214" s="23"/>
      <c r="G214" s="29">
        <f>_xlfn.STDEV.S(G185:G210)</f>
        <v>1.4410723037430737</v>
      </c>
      <c r="H214" s="29">
        <f>_xlfn.STDEV.S(H185:H210)*H213/H212</f>
        <v>0.6694120947006218</v>
      </c>
      <c r="I214" s="29">
        <f>_xlfn.STDEV.S(I185:I210)*I213/I212</f>
        <v>1.2109936018016563</v>
      </c>
      <c r="J214" s="58">
        <f>_xlfn.STDEV.S(J185:J210)</f>
        <v>0.10070686554847677</v>
      </c>
      <c r="K214" s="29">
        <f>_xlfn.STDEV.S(K185:K210)</f>
        <v>4.275983241346573</v>
      </c>
      <c r="L214" s="29">
        <f>_xlfn.STDEV.S(L185:L210)</f>
        <v>1.1013401626410244</v>
      </c>
      <c r="M214" s="29">
        <f>_xlfn.STDEV.S(M185:M210)</f>
        <v>3.5010860952215772</v>
      </c>
      <c r="N214" s="24"/>
      <c r="O214" s="28"/>
    </row>
    <row r="215" spans="1:15">
      <c r="A215" s="56"/>
      <c r="B215" s="23"/>
      <c r="C215" s="57"/>
      <c r="D215" s="57"/>
      <c r="E215" s="23"/>
      <c r="F215" s="23"/>
      <c r="G215" s="29"/>
      <c r="H215" s="29"/>
      <c r="I215" s="29"/>
      <c r="J215" s="58"/>
      <c r="K215" s="29"/>
      <c r="L215" s="29"/>
      <c r="M215" s="29"/>
      <c r="N215" s="24"/>
      <c r="O215" s="28"/>
    </row>
    <row r="216" spans="1:15">
      <c r="A216" s="26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4"/>
      <c r="O216" s="25"/>
    </row>
    <row r="217" spans="1:15">
      <c r="A217" s="22" t="s">
        <v>156</v>
      </c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4"/>
      <c r="O217" s="25"/>
    </row>
    <row r="218" spans="1:15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4"/>
      <c r="O218" s="25"/>
    </row>
    <row r="219" spans="1:15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4"/>
      <c r="O219" s="25"/>
    </row>
    <row r="220" spans="1:15">
      <c r="A220" s="22" t="s">
        <v>355</v>
      </c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4"/>
      <c r="O220" s="25"/>
    </row>
    <row r="221" spans="1:15">
      <c r="A221" s="27" t="s">
        <v>338</v>
      </c>
      <c r="B221" s="23"/>
      <c r="C221" s="23">
        <v>300</v>
      </c>
      <c r="D221" s="23">
        <v>148</v>
      </c>
      <c r="E221" s="23"/>
      <c r="F221" s="23"/>
      <c r="G221" s="29">
        <v>6</v>
      </c>
      <c r="H221" s="23"/>
      <c r="I221" s="23"/>
      <c r="J221" s="23"/>
      <c r="K221" s="23"/>
      <c r="L221" s="29">
        <v>3.2</v>
      </c>
      <c r="M221" s="29">
        <v>7.2</v>
      </c>
      <c r="N221" s="24"/>
      <c r="O221" s="25" t="s">
        <v>334</v>
      </c>
    </row>
    <row r="222" spans="1:15">
      <c r="A222" s="27" t="s">
        <v>338</v>
      </c>
      <c r="B222" s="23"/>
      <c r="C222" s="23">
        <v>300</v>
      </c>
      <c r="D222" s="23">
        <v>148</v>
      </c>
      <c r="E222" s="23"/>
      <c r="F222" s="23"/>
      <c r="G222" s="29">
        <v>6</v>
      </c>
      <c r="H222" s="23"/>
      <c r="I222" s="23"/>
      <c r="J222" s="23"/>
      <c r="K222" s="23"/>
      <c r="L222" s="29">
        <v>3.2</v>
      </c>
      <c r="M222" s="29">
        <v>7.2</v>
      </c>
      <c r="N222" s="24"/>
      <c r="O222" s="25" t="s">
        <v>334</v>
      </c>
    </row>
    <row r="223" spans="1:15">
      <c r="A223" s="27" t="s">
        <v>338</v>
      </c>
      <c r="B223" s="23"/>
      <c r="C223" s="23">
        <v>264</v>
      </c>
      <c r="D223" s="23">
        <v>107</v>
      </c>
      <c r="E223" s="23"/>
      <c r="F223" s="23"/>
      <c r="G223" s="29">
        <v>5.0999999999999996</v>
      </c>
      <c r="H223" s="23"/>
      <c r="I223" s="23"/>
      <c r="J223" s="23"/>
      <c r="K223" s="23"/>
      <c r="L223" s="29">
        <v>8.4</v>
      </c>
      <c r="M223" s="29">
        <v>6.3</v>
      </c>
      <c r="N223" s="24"/>
      <c r="O223" s="25" t="s">
        <v>334</v>
      </c>
    </row>
    <row r="224" spans="1:15">
      <c r="A224" s="27" t="s">
        <v>338</v>
      </c>
      <c r="B224" s="23"/>
      <c r="C224" s="23">
        <v>347</v>
      </c>
      <c r="D224" s="23">
        <v>88</v>
      </c>
      <c r="E224" s="23"/>
      <c r="F224" s="23"/>
      <c r="G224" s="29">
        <v>6.2</v>
      </c>
      <c r="H224" s="23"/>
      <c r="I224" s="23"/>
      <c r="J224" s="23"/>
      <c r="K224" s="23"/>
      <c r="L224" s="29">
        <v>5.47</v>
      </c>
      <c r="M224" s="29">
        <v>7.73</v>
      </c>
      <c r="N224" s="24"/>
      <c r="O224" s="25" t="s">
        <v>334</v>
      </c>
    </row>
    <row r="225" spans="1:15">
      <c r="A225" s="27" t="s">
        <v>338</v>
      </c>
      <c r="B225" s="23"/>
      <c r="C225" s="23">
        <v>298</v>
      </c>
      <c r="D225" s="23">
        <v>118</v>
      </c>
      <c r="E225" s="23"/>
      <c r="F225" s="23"/>
      <c r="G225" s="29">
        <v>3.6</v>
      </c>
      <c r="H225" s="23"/>
      <c r="I225" s="23"/>
      <c r="J225" s="23"/>
      <c r="K225" s="23"/>
      <c r="L225" s="29">
        <v>2.74</v>
      </c>
      <c r="M225" s="29">
        <v>7.8</v>
      </c>
      <c r="N225" s="24"/>
      <c r="O225" s="25" t="s">
        <v>334</v>
      </c>
    </row>
    <row r="226" spans="1:15">
      <c r="A226" s="27" t="s">
        <v>338</v>
      </c>
      <c r="B226" s="23"/>
      <c r="C226" s="23">
        <v>279</v>
      </c>
      <c r="D226" s="23">
        <v>226</v>
      </c>
      <c r="E226" s="23"/>
      <c r="F226" s="23"/>
      <c r="G226" s="29">
        <v>8</v>
      </c>
      <c r="H226" s="23"/>
      <c r="I226" s="23"/>
      <c r="J226" s="23"/>
      <c r="K226" s="23"/>
      <c r="L226" s="29">
        <v>11</v>
      </c>
      <c r="M226" s="29">
        <v>14.94</v>
      </c>
      <c r="N226" s="24"/>
      <c r="O226" s="25" t="s">
        <v>334</v>
      </c>
    </row>
    <row r="227" spans="1:15">
      <c r="A227" s="27" t="s">
        <v>338</v>
      </c>
      <c r="B227" s="23"/>
      <c r="C227" s="23">
        <v>235</v>
      </c>
      <c r="D227" s="23">
        <v>163</v>
      </c>
      <c r="E227" s="23"/>
      <c r="F227" s="23"/>
      <c r="G227" s="29">
        <v>5.68</v>
      </c>
      <c r="H227" s="23"/>
      <c r="I227" s="23"/>
      <c r="J227" s="23"/>
      <c r="K227" s="23"/>
      <c r="L227" s="29">
        <v>2.78</v>
      </c>
      <c r="M227" s="29">
        <v>13.1</v>
      </c>
      <c r="N227" s="24"/>
      <c r="O227" s="25" t="s">
        <v>334</v>
      </c>
    </row>
    <row r="228" spans="1:15">
      <c r="A228" s="27" t="s">
        <v>338</v>
      </c>
      <c r="B228" s="23"/>
      <c r="C228" s="23">
        <v>262</v>
      </c>
      <c r="D228" s="23">
        <v>213</v>
      </c>
      <c r="E228" s="23"/>
      <c r="F228" s="23"/>
      <c r="G228" s="29">
        <v>10.199999999999999</v>
      </c>
      <c r="H228" s="23"/>
      <c r="I228" s="23"/>
      <c r="J228" s="23"/>
      <c r="K228" s="23"/>
      <c r="L228" s="29">
        <v>10.8</v>
      </c>
      <c r="M228" s="29">
        <v>9</v>
      </c>
      <c r="N228" s="24"/>
      <c r="O228" s="25" t="s">
        <v>334</v>
      </c>
    </row>
    <row r="229" spans="1:15">
      <c r="A229" s="2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4"/>
      <c r="O229" s="25"/>
    </row>
    <row r="230" spans="1:15">
      <c r="A230" s="56" t="s">
        <v>357</v>
      </c>
      <c r="B230" s="23"/>
      <c r="C230" s="57">
        <f>AVERAGE(C221:C228)</f>
        <v>285.625</v>
      </c>
      <c r="D230" s="57">
        <f>AVERAGE(D221:D228)</f>
        <v>151.375</v>
      </c>
      <c r="E230" s="23"/>
      <c r="F230" s="23"/>
      <c r="G230" s="29">
        <f>AVERAGE(G221:G228)</f>
        <v>6.3475000000000001</v>
      </c>
      <c r="H230" s="23"/>
      <c r="I230" s="23"/>
      <c r="J230" s="23"/>
      <c r="K230" s="23"/>
      <c r="L230" s="29">
        <f>AVERAGE(L221:L228)</f>
        <v>5.9487500000000004</v>
      </c>
      <c r="M230" s="29">
        <f>AVERAGE(M221:M228)</f>
        <v>9.1587499999999995</v>
      </c>
      <c r="N230" s="24"/>
      <c r="O230" s="25"/>
    </row>
    <row r="231" spans="1:15">
      <c r="A231" s="56" t="s">
        <v>177</v>
      </c>
      <c r="B231" s="23"/>
      <c r="C231" s="57">
        <f>_xlfn.STDEV.S(C221:C228)</f>
        <v>33.733990912092551</v>
      </c>
      <c r="D231" s="57">
        <f>_xlfn.STDEV.S(D221:D228)</f>
        <v>48.73232280236892</v>
      </c>
      <c r="E231" s="23"/>
      <c r="F231" s="23"/>
      <c r="G231" s="29">
        <f>_xlfn.STDEV.S(G221:G228)</f>
        <v>1.9779625158950089</v>
      </c>
      <c r="H231" s="23"/>
      <c r="I231" s="23"/>
      <c r="J231" s="23"/>
      <c r="K231" s="23"/>
      <c r="L231" s="29">
        <f>_xlfn.STDEV.S(L221:L228)</f>
        <v>3.6003152143745889</v>
      </c>
      <c r="M231" s="29">
        <f>_xlfn.STDEV.S(M221:M228)</f>
        <v>3.1331154622835085</v>
      </c>
      <c r="N231" s="24"/>
      <c r="O231" s="25"/>
    </row>
    <row r="232" spans="1:15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4"/>
      <c r="O232" s="25"/>
    </row>
    <row r="233" spans="1:15">
      <c r="A233" s="26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4"/>
      <c r="O233" s="25"/>
    </row>
    <row r="234" spans="1:15">
      <c r="A234" s="18" t="s">
        <v>153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O234" s="17"/>
    </row>
    <row r="235" spans="1:15">
      <c r="A235" s="113" t="s">
        <v>332</v>
      </c>
      <c r="B235" s="16"/>
      <c r="C235" s="81">
        <v>466</v>
      </c>
      <c r="D235" s="81">
        <v>365</v>
      </c>
      <c r="E235" s="16"/>
      <c r="F235" s="16"/>
      <c r="G235" s="79">
        <v>15.7</v>
      </c>
      <c r="H235" s="16"/>
      <c r="I235" s="16"/>
      <c r="J235" s="16"/>
      <c r="K235" s="16"/>
      <c r="L235" s="79">
        <v>18.600000000000001</v>
      </c>
      <c r="M235" s="79">
        <v>18.7</v>
      </c>
      <c r="O235" s="17"/>
    </row>
    <row r="236" spans="1:15">
      <c r="A236" s="113" t="s">
        <v>332</v>
      </c>
      <c r="B236" s="16"/>
      <c r="C236" s="81">
        <v>441</v>
      </c>
      <c r="D236" s="81">
        <v>346</v>
      </c>
      <c r="E236" s="16"/>
      <c r="F236" s="16"/>
      <c r="G236" s="79">
        <v>19.8</v>
      </c>
      <c r="H236" s="16"/>
      <c r="I236" s="16"/>
      <c r="J236" s="16"/>
      <c r="K236" s="16"/>
      <c r="L236" s="79">
        <v>18.600000000000001</v>
      </c>
      <c r="M236" s="79">
        <v>15</v>
      </c>
      <c r="O236" s="17"/>
    </row>
    <row r="237" spans="1:15">
      <c r="A237" s="113" t="s">
        <v>332</v>
      </c>
      <c r="B237" s="16"/>
      <c r="C237" s="81">
        <v>441</v>
      </c>
      <c r="D237" s="81">
        <v>346</v>
      </c>
      <c r="E237" s="16"/>
      <c r="F237" s="16"/>
      <c r="G237" s="79">
        <v>19.8</v>
      </c>
      <c r="H237" s="16"/>
      <c r="I237" s="16"/>
      <c r="J237" s="16"/>
      <c r="K237" s="16"/>
      <c r="L237" s="79">
        <v>18.600000000000001</v>
      </c>
      <c r="M237" s="79">
        <v>15</v>
      </c>
      <c r="O237" s="17"/>
    </row>
    <row r="238" spans="1:15">
      <c r="A238" s="113" t="s">
        <v>332</v>
      </c>
      <c r="B238" s="16"/>
      <c r="C238" s="81">
        <v>441</v>
      </c>
      <c r="D238" s="81">
        <v>346</v>
      </c>
      <c r="E238" s="16"/>
      <c r="F238" s="16"/>
      <c r="G238" s="79">
        <v>18.5</v>
      </c>
      <c r="H238" s="16"/>
      <c r="I238" s="16"/>
      <c r="J238" s="16"/>
      <c r="K238" s="16"/>
      <c r="L238" s="79">
        <v>17.600000000000001</v>
      </c>
      <c r="M238" s="79">
        <v>17.899999999999999</v>
      </c>
      <c r="O238" s="17"/>
    </row>
    <row r="239" spans="1:15">
      <c r="A239" s="113" t="s">
        <v>332</v>
      </c>
      <c r="B239" s="16"/>
      <c r="C239" s="81">
        <v>639</v>
      </c>
      <c r="D239" s="81">
        <v>499</v>
      </c>
      <c r="E239" s="16"/>
      <c r="F239" s="16"/>
      <c r="G239" s="79">
        <v>28.7</v>
      </c>
      <c r="H239" s="16"/>
      <c r="I239" s="16"/>
      <c r="J239" s="16"/>
      <c r="K239" s="16"/>
      <c r="L239" s="79">
        <v>30</v>
      </c>
      <c r="M239" s="79">
        <v>20.3</v>
      </c>
      <c r="O239" s="17"/>
    </row>
    <row r="240" spans="1:15">
      <c r="A240" s="113" t="s">
        <v>332</v>
      </c>
      <c r="B240" s="16"/>
      <c r="C240" s="81">
        <v>622</v>
      </c>
      <c r="D240" s="81">
        <v>491</v>
      </c>
      <c r="E240" s="16"/>
      <c r="F240" s="16"/>
      <c r="G240" s="79">
        <v>37.729999999999997</v>
      </c>
      <c r="H240" s="16"/>
      <c r="I240" s="16"/>
      <c r="J240" s="16"/>
      <c r="K240" s="16"/>
      <c r="L240" s="79">
        <v>20.65</v>
      </c>
      <c r="M240" s="79">
        <v>17.3</v>
      </c>
      <c r="O240" s="17"/>
    </row>
    <row r="241" spans="1:15">
      <c r="A241" s="113" t="s">
        <v>332</v>
      </c>
      <c r="B241" s="16"/>
      <c r="C241" s="81">
        <v>374</v>
      </c>
      <c r="D241" s="81">
        <v>254</v>
      </c>
      <c r="E241" s="16"/>
      <c r="F241" s="81">
        <v>747</v>
      </c>
      <c r="G241" s="79">
        <v>18.600000000000001</v>
      </c>
      <c r="H241" s="79">
        <v>4.29</v>
      </c>
      <c r="I241" s="79">
        <v>14.3</v>
      </c>
      <c r="J241" s="11">
        <f>I241/G241</f>
        <v>0.76881720430107525</v>
      </c>
      <c r="K241" s="29">
        <f>D241*(F241/1000)/I241</f>
        <v>13.268391608391608</v>
      </c>
      <c r="L241" s="79">
        <v>17.100000000000001</v>
      </c>
      <c r="M241" s="79">
        <v>11.3</v>
      </c>
      <c r="O241" s="17"/>
    </row>
    <row r="242" spans="1:15">
      <c r="A242" s="113" t="s">
        <v>332</v>
      </c>
      <c r="B242" s="16"/>
      <c r="C242" s="81">
        <v>573</v>
      </c>
      <c r="D242" s="81">
        <v>258</v>
      </c>
      <c r="E242" s="16"/>
      <c r="F242" s="81">
        <v>511</v>
      </c>
      <c r="G242" s="79">
        <v>16.899999999999999</v>
      </c>
      <c r="H242" s="79">
        <v>3.75</v>
      </c>
      <c r="I242" s="79">
        <v>13.2</v>
      </c>
      <c r="J242" s="11">
        <f>I242/G242</f>
        <v>0.78106508875739644</v>
      </c>
      <c r="K242" s="29">
        <f>D242*(F242/1000)/I242</f>
        <v>9.9877272727272732</v>
      </c>
      <c r="L242" s="79">
        <v>29.1</v>
      </c>
      <c r="M242" s="79">
        <v>17.399999999999999</v>
      </c>
      <c r="O242" s="17"/>
    </row>
    <row r="243" spans="1:15">
      <c r="A243" s="113" t="s">
        <v>332</v>
      </c>
      <c r="B243" s="16"/>
      <c r="C243" s="81">
        <v>796</v>
      </c>
      <c r="D243" s="81">
        <v>437.00400000000002</v>
      </c>
      <c r="E243" s="16"/>
      <c r="F243" s="16"/>
      <c r="G243" s="79">
        <v>30.9</v>
      </c>
      <c r="H243" s="79">
        <v>4.5999999999999996</v>
      </c>
      <c r="I243" s="79">
        <v>26.3</v>
      </c>
      <c r="J243" s="11">
        <f>I243/G243</f>
        <v>0.8511326860841425</v>
      </c>
      <c r="K243" s="29">
        <f t="shared" ref="K243:K244" si="27">D243*0.5/I243</f>
        <v>8.3080608365019017</v>
      </c>
      <c r="L243" s="79">
        <v>31</v>
      </c>
      <c r="M243" s="79">
        <v>13.2</v>
      </c>
      <c r="O243" s="17"/>
    </row>
    <row r="244" spans="1:15">
      <c r="A244" s="113" t="s">
        <v>332</v>
      </c>
      <c r="B244" s="16"/>
      <c r="C244" s="81">
        <v>633</v>
      </c>
      <c r="D244" s="81">
        <v>277.25399999999991</v>
      </c>
      <c r="E244" s="16"/>
      <c r="F244" s="16"/>
      <c r="G244" s="79">
        <v>20.9</v>
      </c>
      <c r="H244" s="79">
        <v>8.6</v>
      </c>
      <c r="I244" s="79">
        <v>12.4</v>
      </c>
      <c r="J244" s="11">
        <f>I244/G244</f>
        <v>0.59330143540669866</v>
      </c>
      <c r="K244" s="29">
        <f t="shared" si="27"/>
        <v>11.179596774193545</v>
      </c>
      <c r="L244" s="79">
        <v>20.6</v>
      </c>
      <c r="M244" s="79">
        <v>8</v>
      </c>
      <c r="O244" s="17"/>
    </row>
    <row r="245" spans="1:15">
      <c r="A245" s="113" t="s">
        <v>332</v>
      </c>
      <c r="B245" s="16"/>
      <c r="C245" s="81">
        <v>456</v>
      </c>
      <c r="D245" s="81">
        <v>361</v>
      </c>
      <c r="E245" s="16"/>
      <c r="F245" s="16"/>
      <c r="G245" s="79">
        <v>19.899999999999999</v>
      </c>
      <c r="H245" s="79"/>
      <c r="I245" s="79"/>
      <c r="J245" s="16"/>
      <c r="K245" s="16"/>
      <c r="L245" s="79">
        <v>15.1</v>
      </c>
      <c r="M245" s="79">
        <v>13</v>
      </c>
      <c r="O245" s="17"/>
    </row>
    <row r="246" spans="1:15">
      <c r="A246" s="113" t="s">
        <v>332</v>
      </c>
      <c r="B246" s="16"/>
      <c r="C246" s="81">
        <v>900</v>
      </c>
      <c r="D246" s="81"/>
      <c r="E246" s="16"/>
      <c r="F246" s="16"/>
      <c r="G246" s="79">
        <v>20</v>
      </c>
      <c r="H246" s="79"/>
      <c r="I246" s="79"/>
      <c r="J246" s="16"/>
      <c r="K246" s="16"/>
      <c r="L246" s="79">
        <v>24</v>
      </c>
      <c r="M246" s="79">
        <v>13.3</v>
      </c>
      <c r="O246" s="17"/>
    </row>
    <row r="247" spans="1:15">
      <c r="A247" s="113" t="s">
        <v>332</v>
      </c>
      <c r="B247" s="16"/>
      <c r="C247" s="81">
        <v>821</v>
      </c>
      <c r="D247" s="81">
        <v>430</v>
      </c>
      <c r="E247" s="16"/>
      <c r="F247" s="16"/>
      <c r="G247" s="79">
        <v>24.6</v>
      </c>
      <c r="H247" s="79">
        <v>3.3</v>
      </c>
      <c r="I247" s="79">
        <v>20.9</v>
      </c>
      <c r="J247" s="11">
        <f>I247/G247</f>
        <v>0.84959349593495925</v>
      </c>
      <c r="K247" s="29">
        <f t="shared" ref="K247" si="28">D247*0.5/I247</f>
        <v>10.28708133971292</v>
      </c>
      <c r="L247" s="79">
        <v>42.2</v>
      </c>
      <c r="M247" s="79">
        <v>20.7</v>
      </c>
      <c r="O247" s="17"/>
    </row>
    <row r="248" spans="1:15">
      <c r="A248" s="113" t="s">
        <v>332</v>
      </c>
      <c r="B248" s="16"/>
      <c r="C248" s="81">
        <v>488</v>
      </c>
      <c r="D248" s="81">
        <v>368</v>
      </c>
      <c r="E248" s="16"/>
      <c r="F248" s="16"/>
      <c r="G248" s="79">
        <v>21.7</v>
      </c>
      <c r="H248" s="79"/>
      <c r="I248" s="79"/>
      <c r="J248" s="16"/>
      <c r="K248" s="16"/>
      <c r="L248" s="79">
        <v>14.3</v>
      </c>
      <c r="M248" s="79">
        <v>13.1</v>
      </c>
      <c r="O248" s="17"/>
    </row>
    <row r="249" spans="1:15">
      <c r="A249" s="113" t="s">
        <v>332</v>
      </c>
      <c r="B249" s="16"/>
      <c r="C249" s="81">
        <v>821</v>
      </c>
      <c r="D249" s="81">
        <v>430</v>
      </c>
      <c r="E249" s="16"/>
      <c r="F249" s="16"/>
      <c r="G249" s="79">
        <v>24.6</v>
      </c>
      <c r="H249" s="79">
        <v>3.3</v>
      </c>
      <c r="I249" s="79">
        <v>20.9</v>
      </c>
      <c r="J249" s="11">
        <f>I249/G249</f>
        <v>0.84959349593495925</v>
      </c>
      <c r="K249" s="29">
        <f t="shared" ref="K249" si="29">D249*0.5/I249</f>
        <v>10.28708133971292</v>
      </c>
      <c r="L249" s="79">
        <v>42.2</v>
      </c>
      <c r="M249" s="79">
        <v>20.7</v>
      </c>
      <c r="O249" s="17"/>
    </row>
    <row r="250" spans="1:15">
      <c r="A250" t="s">
        <v>97</v>
      </c>
      <c r="C250">
        <v>374</v>
      </c>
      <c r="D250">
        <v>254</v>
      </c>
      <c r="G250">
        <v>18.600000000000001</v>
      </c>
      <c r="H250">
        <v>4.29</v>
      </c>
      <c r="I250">
        <v>14.3</v>
      </c>
      <c r="J250" s="11">
        <f>I250/G250</f>
        <v>0.76881720430107525</v>
      </c>
      <c r="K250">
        <v>13.3</v>
      </c>
      <c r="L250">
        <v>17.100000000000001</v>
      </c>
      <c r="M250">
        <v>11.3</v>
      </c>
      <c r="O250" s="35" t="s">
        <v>94</v>
      </c>
    </row>
    <row r="251" spans="1:15">
      <c r="A251" t="s">
        <v>98</v>
      </c>
      <c r="C251">
        <v>573</v>
      </c>
      <c r="D251">
        <v>258</v>
      </c>
      <c r="G251">
        <v>16.899999999999999</v>
      </c>
      <c r="H251">
        <v>3.75</v>
      </c>
      <c r="I251">
        <v>13.2</v>
      </c>
      <c r="J251" s="11">
        <f>I251/G251</f>
        <v>0.78106508875739644</v>
      </c>
      <c r="K251" s="7">
        <v>10</v>
      </c>
      <c r="L251">
        <v>29.1</v>
      </c>
      <c r="M251">
        <v>17.399999999999999</v>
      </c>
      <c r="O251" s="35" t="s">
        <v>94</v>
      </c>
    </row>
    <row r="252" spans="1:15">
      <c r="A252" s="15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</row>
    <row r="253" spans="1:15">
      <c r="A253" s="13" t="s">
        <v>212</v>
      </c>
      <c r="B253" s="16"/>
      <c r="C253" s="81">
        <f>AVERAGE(C235:C245,C247:C251)</f>
        <v>559.9375</v>
      </c>
      <c r="D253" s="81">
        <f>AVERAGE(D235:D245,D247:D251)</f>
        <v>357.51612499999999</v>
      </c>
      <c r="E253" s="16"/>
      <c r="F253" s="16"/>
      <c r="G253" s="79">
        <f>AVERAGE(G241:G244,G247,G249:G251)</f>
        <v>21.5</v>
      </c>
      <c r="H253" s="79">
        <f>AVERAGE(H241:H244,H247,H249:H251)</f>
        <v>4.4850000000000003</v>
      </c>
      <c r="I253" s="79">
        <f>AVERAGE(I241:I244,I247,I249:I251)</f>
        <v>16.9375</v>
      </c>
      <c r="J253" s="11">
        <f>I253/G253</f>
        <v>0.78779069767441856</v>
      </c>
      <c r="K253" s="79">
        <f>AVERAGE(K241:K244,K247,K249:K251)</f>
        <v>10.827242396405021</v>
      </c>
      <c r="L253" s="16"/>
      <c r="M253" s="16"/>
    </row>
    <row r="254" spans="1:15">
      <c r="A254" s="13" t="s">
        <v>212</v>
      </c>
      <c r="C254" s="9">
        <f>AVERAGE(C235:C251)</f>
        <v>579.94117647058829</v>
      </c>
      <c r="D254" s="9">
        <f>D253*C254/C253</f>
        <v>370.28833064351983</v>
      </c>
      <c r="G254" s="7">
        <f>AVERAGE(G235:G251)</f>
        <v>21.990000000000002</v>
      </c>
      <c r="H254" s="7">
        <f>H253*G254/G253</f>
        <v>4.5872162790697679</v>
      </c>
      <c r="I254" s="7">
        <f>I253*G254/G253</f>
        <v>17.323517441860467</v>
      </c>
      <c r="J254" s="11">
        <f>I254/G254</f>
        <v>0.78779069767441867</v>
      </c>
      <c r="L254" s="7">
        <f>AVERAGE(L235:L251)</f>
        <v>23.873529411764707</v>
      </c>
      <c r="M254" s="7">
        <f>AVERAGE(M235:M251)</f>
        <v>15.505882352941175</v>
      </c>
    </row>
    <row r="255" spans="1:15">
      <c r="A255" s="13" t="s">
        <v>177</v>
      </c>
      <c r="C255" s="9">
        <f>_xlfn.STDEV.S(C235:C251)</f>
        <v>168.27079016730562</v>
      </c>
      <c r="D255" s="9">
        <f>_xlfn.STDEV.S(D235:D251)*D254/D253</f>
        <v>85.791451125952179</v>
      </c>
      <c r="G255" s="7">
        <f>_xlfn.STDEV.S(G235:G251)</f>
        <v>5.7636858866527376</v>
      </c>
      <c r="H255" s="7">
        <f>_xlfn.STDEV.S(H235:H251)*H254/H253</f>
        <v>1.7677844286951421</v>
      </c>
      <c r="I255" s="7">
        <f>_xlfn.STDEV.S(I235:I251)*I254/I253</f>
        <v>5.2080430875952137</v>
      </c>
      <c r="J255" s="11">
        <f>_xlfn.STDEV.S(J235:J251)</f>
        <v>8.4391661911195917E-2</v>
      </c>
      <c r="L255" s="7">
        <f>_xlfn.STDEV.S(L235:L251)</f>
        <v>8.7284398242014447</v>
      </c>
      <c r="M255" s="7">
        <f>_xlfn.STDEV.S(M235:M251)</f>
        <v>3.6890836579419233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39"/>
  <sheetViews>
    <sheetView workbookViewId="0">
      <pane xSplit="1" ySplit="1" topLeftCell="G23" activePane="bottomRight" state="frozen"/>
      <selection pane="topRight" activeCell="B1" sqref="B1"/>
      <selection pane="bottomLeft" activeCell="A2" sqref="A2"/>
      <selection pane="bottomRight" activeCell="G35" sqref="G35"/>
    </sheetView>
  </sheetViews>
  <sheetFormatPr defaultColWidth="8.85546875" defaultRowHeight="15"/>
  <cols>
    <col min="1" max="1" width="33.7109375" style="35" bestFit="1" customWidth="1"/>
    <col min="2" max="3" width="8.85546875" style="35"/>
    <col min="4" max="4" width="9.85546875" style="35" customWidth="1"/>
    <col min="5" max="6" width="10.28515625" style="35" customWidth="1"/>
    <col min="7" max="10" width="8.85546875" style="35"/>
    <col min="11" max="11" width="7.42578125" style="35" customWidth="1"/>
    <col min="12" max="12" width="7.7109375" style="35" customWidth="1"/>
    <col min="13" max="13" width="8" style="35" customWidth="1"/>
    <col min="14" max="14" width="3.7109375" style="35" customWidth="1"/>
    <col min="15" max="16384" width="8.85546875" style="35"/>
  </cols>
  <sheetData>
    <row r="1" spans="1:15" s="44" customFormat="1" ht="62.25">
      <c r="A1" s="1" t="s">
        <v>0</v>
      </c>
      <c r="B1" s="2" t="s">
        <v>37</v>
      </c>
      <c r="C1" s="2" t="s">
        <v>1</v>
      </c>
      <c r="D1" s="2" t="s">
        <v>2</v>
      </c>
      <c r="E1" s="2" t="s">
        <v>8</v>
      </c>
      <c r="F1" s="2" t="s">
        <v>9</v>
      </c>
      <c r="G1" s="2" t="s">
        <v>3</v>
      </c>
      <c r="H1" s="2" t="s">
        <v>4</v>
      </c>
      <c r="I1" s="2" t="s">
        <v>5</v>
      </c>
      <c r="J1" s="2" t="s">
        <v>12</v>
      </c>
      <c r="K1" s="2" t="s">
        <v>40</v>
      </c>
      <c r="L1" s="2" t="s">
        <v>6</v>
      </c>
      <c r="M1" s="2" t="s">
        <v>7</v>
      </c>
      <c r="O1" s="14" t="s">
        <v>65</v>
      </c>
    </row>
    <row r="2" spans="1:15">
      <c r="A2" s="47" t="s">
        <v>185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O2" s="17"/>
    </row>
    <row r="3" spans="1:15">
      <c r="A3" s="35" t="s">
        <v>111</v>
      </c>
      <c r="B3" s="16"/>
      <c r="C3" s="16"/>
      <c r="D3" s="16"/>
      <c r="E3" s="16"/>
      <c r="F3" s="16"/>
      <c r="G3" s="16">
        <v>42</v>
      </c>
      <c r="H3" s="16"/>
      <c r="I3" s="16"/>
      <c r="J3" s="16"/>
      <c r="K3" s="16"/>
      <c r="L3" s="16">
        <v>36</v>
      </c>
      <c r="M3" s="16">
        <v>28</v>
      </c>
      <c r="O3" s="35" t="s">
        <v>110</v>
      </c>
    </row>
    <row r="4" spans="1:15">
      <c r="A4" s="35" t="s">
        <v>60</v>
      </c>
      <c r="C4" s="33" t="s">
        <v>137</v>
      </c>
      <c r="D4" s="33" t="s">
        <v>182</v>
      </c>
      <c r="G4" s="17">
        <v>40</v>
      </c>
      <c r="J4" s="38"/>
      <c r="K4" s="41">
        <v>10</v>
      </c>
      <c r="L4" s="17">
        <v>30</v>
      </c>
      <c r="M4" s="17">
        <v>30</v>
      </c>
      <c r="O4" s="35" t="s">
        <v>128</v>
      </c>
    </row>
    <row r="5" spans="1:15">
      <c r="A5" s="35" t="s">
        <v>60</v>
      </c>
      <c r="C5" s="33"/>
      <c r="D5" s="33"/>
      <c r="G5" s="17">
        <v>40</v>
      </c>
      <c r="J5" s="38"/>
      <c r="K5" s="41"/>
      <c r="L5" s="17">
        <v>35</v>
      </c>
      <c r="M5" s="17">
        <v>25</v>
      </c>
      <c r="O5" s="35" t="s">
        <v>183</v>
      </c>
    </row>
    <row r="6" spans="1:15">
      <c r="A6" s="30" t="s">
        <v>194</v>
      </c>
      <c r="C6" s="33"/>
      <c r="D6" s="33"/>
      <c r="G6" s="17">
        <v>43</v>
      </c>
      <c r="J6" s="38"/>
      <c r="K6" s="41"/>
      <c r="L6" s="17">
        <v>32</v>
      </c>
      <c r="M6" s="17">
        <v>23</v>
      </c>
      <c r="O6" s="35" t="s">
        <v>183</v>
      </c>
    </row>
    <row r="7" spans="1:15">
      <c r="A7" s="30" t="s">
        <v>189</v>
      </c>
      <c r="C7" s="31">
        <v>880</v>
      </c>
      <c r="D7" s="31">
        <v>630</v>
      </c>
      <c r="G7" s="31">
        <v>45.7</v>
      </c>
      <c r="J7" s="38"/>
      <c r="K7" s="41"/>
      <c r="L7" s="31">
        <v>38.1</v>
      </c>
      <c r="M7" s="31">
        <v>22.7</v>
      </c>
      <c r="O7" s="35" t="s">
        <v>183</v>
      </c>
    </row>
    <row r="8" spans="1:15">
      <c r="A8" s="30" t="s">
        <v>190</v>
      </c>
      <c r="C8" s="31">
        <v>600</v>
      </c>
      <c r="D8" s="31">
        <v>400</v>
      </c>
      <c r="G8" s="31">
        <v>29</v>
      </c>
      <c r="J8" s="38"/>
      <c r="K8" s="41"/>
      <c r="L8" s="31">
        <v>30</v>
      </c>
      <c r="M8" s="31">
        <v>20</v>
      </c>
      <c r="O8" s="35" t="s">
        <v>183</v>
      </c>
    </row>
    <row r="9" spans="1:15">
      <c r="A9" s="30" t="s">
        <v>191</v>
      </c>
      <c r="C9" s="31">
        <v>600</v>
      </c>
      <c r="D9" s="31">
        <v>430</v>
      </c>
      <c r="G9" s="31">
        <v>36</v>
      </c>
      <c r="J9" s="38"/>
      <c r="K9" s="41"/>
      <c r="L9" s="31">
        <v>19</v>
      </c>
      <c r="M9" s="31">
        <v>24</v>
      </c>
      <c r="O9" s="35" t="s">
        <v>183</v>
      </c>
    </row>
    <row r="10" spans="1:15">
      <c r="C10" s="33"/>
      <c r="G10" s="17"/>
      <c r="J10" s="38"/>
      <c r="K10" s="37"/>
      <c r="L10" s="17"/>
      <c r="M10" s="17"/>
    </row>
    <row r="11" spans="1:15">
      <c r="A11" s="47" t="s">
        <v>184</v>
      </c>
      <c r="C11" s="33"/>
      <c r="G11" s="17"/>
      <c r="J11" s="38"/>
      <c r="K11" s="37"/>
      <c r="L11" s="17"/>
      <c r="M11" s="17"/>
    </row>
    <row r="12" spans="1:15">
      <c r="A12" s="42" t="s">
        <v>152</v>
      </c>
      <c r="C12" s="33"/>
      <c r="G12" s="17">
        <v>25</v>
      </c>
      <c r="J12" s="38"/>
      <c r="K12" s="37"/>
      <c r="L12" s="54">
        <v>49</v>
      </c>
      <c r="M12" s="17">
        <v>33</v>
      </c>
      <c r="O12" s="35" t="s">
        <v>110</v>
      </c>
    </row>
    <row r="13" spans="1:15">
      <c r="A13" s="42" t="s">
        <v>138</v>
      </c>
      <c r="C13" s="33" t="s">
        <v>137</v>
      </c>
      <c r="D13" s="33" t="s">
        <v>139</v>
      </c>
      <c r="G13" s="17">
        <v>20</v>
      </c>
      <c r="J13" s="38"/>
      <c r="K13" s="41">
        <v>18</v>
      </c>
      <c r="L13" s="17">
        <v>10</v>
      </c>
      <c r="M13" s="17">
        <v>20</v>
      </c>
      <c r="O13" s="35" t="s">
        <v>128</v>
      </c>
    </row>
    <row r="14" spans="1:15">
      <c r="A14" s="30" t="s">
        <v>186</v>
      </c>
      <c r="C14" s="31">
        <v>930</v>
      </c>
      <c r="D14" s="31">
        <v>700</v>
      </c>
      <c r="G14" s="31">
        <v>24</v>
      </c>
      <c r="J14" s="38"/>
      <c r="K14" s="41"/>
      <c r="L14" s="31">
        <v>22</v>
      </c>
      <c r="M14" s="31">
        <v>48</v>
      </c>
      <c r="O14" s="35" t="s">
        <v>183</v>
      </c>
    </row>
    <row r="15" spans="1:15">
      <c r="A15" s="30" t="s">
        <v>187</v>
      </c>
      <c r="C15" s="31">
        <v>880</v>
      </c>
      <c r="D15" s="31">
        <v>650</v>
      </c>
      <c r="G15" s="31">
        <v>19</v>
      </c>
      <c r="J15" s="38"/>
      <c r="K15" s="41"/>
      <c r="L15" s="31">
        <v>12</v>
      </c>
      <c r="M15" s="31">
        <v>32</v>
      </c>
      <c r="O15" s="35" t="s">
        <v>183</v>
      </c>
    </row>
    <row r="16" spans="1:15">
      <c r="A16" s="30" t="s">
        <v>188</v>
      </c>
      <c r="B16" s="16"/>
      <c r="C16" s="31">
        <v>900</v>
      </c>
      <c r="D16" s="31">
        <v>600</v>
      </c>
      <c r="E16" s="16"/>
      <c r="F16" s="16"/>
      <c r="G16" s="31">
        <v>21</v>
      </c>
      <c r="H16" s="16"/>
      <c r="I16" s="16"/>
      <c r="J16" s="16"/>
      <c r="K16" s="16"/>
      <c r="L16" s="31">
        <v>17</v>
      </c>
      <c r="M16" s="31">
        <v>35</v>
      </c>
      <c r="O16" s="35" t="s">
        <v>183</v>
      </c>
    </row>
    <row r="17" spans="1:15">
      <c r="A17" s="30"/>
      <c r="B17" s="16"/>
      <c r="C17" s="31"/>
      <c r="D17" s="31"/>
      <c r="E17" s="16"/>
      <c r="F17" s="16"/>
      <c r="G17" s="31"/>
      <c r="H17" s="16"/>
      <c r="I17" s="16"/>
      <c r="J17" s="16"/>
      <c r="K17" s="16"/>
      <c r="L17" s="31"/>
      <c r="M17" s="31"/>
    </row>
    <row r="18" spans="1:15">
      <c r="A18" s="55" t="s">
        <v>348</v>
      </c>
      <c r="B18" s="16"/>
      <c r="C18" s="31"/>
      <c r="D18" s="31"/>
      <c r="E18" s="16"/>
      <c r="F18" s="16"/>
      <c r="G18" s="31"/>
      <c r="H18" s="16"/>
      <c r="I18" s="16"/>
      <c r="J18" s="16"/>
      <c r="K18" s="16"/>
      <c r="L18" s="31"/>
      <c r="M18" s="31"/>
    </row>
    <row r="19" spans="1:15">
      <c r="A19" s="112" t="s">
        <v>339</v>
      </c>
      <c r="B19" s="16"/>
      <c r="C19" s="31">
        <v>219</v>
      </c>
      <c r="D19" s="31">
        <v>126</v>
      </c>
      <c r="E19" s="16"/>
      <c r="F19" s="16"/>
      <c r="G19" s="32">
        <v>6.3</v>
      </c>
      <c r="H19" s="16"/>
      <c r="I19" s="16"/>
      <c r="J19" s="16"/>
      <c r="K19" s="16"/>
      <c r="L19" s="32">
        <v>3.1</v>
      </c>
      <c r="M19" s="32">
        <v>5.5</v>
      </c>
      <c r="O19" s="109" t="s">
        <v>334</v>
      </c>
    </row>
    <row r="20" spans="1:15">
      <c r="A20" s="112" t="s">
        <v>339</v>
      </c>
      <c r="B20" s="16"/>
      <c r="C20" s="31">
        <v>201</v>
      </c>
      <c r="D20" s="31">
        <v>100</v>
      </c>
      <c r="E20" s="16"/>
      <c r="F20" s="16"/>
      <c r="G20" s="32">
        <v>3.7</v>
      </c>
      <c r="H20" s="16"/>
      <c r="I20" s="16"/>
      <c r="J20" s="16"/>
      <c r="K20" s="16"/>
      <c r="L20" s="32">
        <v>2.9</v>
      </c>
      <c r="M20" s="32">
        <v>6.8</v>
      </c>
      <c r="O20" s="109" t="s">
        <v>334</v>
      </c>
    </row>
    <row r="21" spans="1:15">
      <c r="A21" s="112" t="s">
        <v>339</v>
      </c>
      <c r="B21" s="16"/>
      <c r="C21" s="31">
        <v>335</v>
      </c>
      <c r="D21" s="31">
        <v>176</v>
      </c>
      <c r="E21" s="16"/>
      <c r="F21" s="16"/>
      <c r="G21" s="32">
        <v>5.5</v>
      </c>
      <c r="H21" s="16"/>
      <c r="I21" s="16"/>
      <c r="J21" s="16"/>
      <c r="K21" s="16"/>
      <c r="L21" s="32">
        <v>4.12</v>
      </c>
      <c r="M21" s="32">
        <v>12.5</v>
      </c>
      <c r="O21" s="109" t="s">
        <v>334</v>
      </c>
    </row>
    <row r="22" spans="1:15">
      <c r="A22" s="112" t="s">
        <v>339</v>
      </c>
      <c r="B22" s="16"/>
      <c r="C22" s="31">
        <v>189</v>
      </c>
      <c r="D22" s="31">
        <v>118</v>
      </c>
      <c r="E22" s="16"/>
      <c r="F22" s="16"/>
      <c r="G22" s="32">
        <v>4.5</v>
      </c>
      <c r="H22" s="16"/>
      <c r="I22" s="16"/>
      <c r="J22" s="16"/>
      <c r="K22" s="16"/>
      <c r="L22" s="32">
        <v>3.38</v>
      </c>
      <c r="M22" s="32">
        <v>10.1</v>
      </c>
      <c r="O22" s="109" t="s">
        <v>334</v>
      </c>
    </row>
    <row r="23" spans="1:15">
      <c r="A23" s="112" t="s">
        <v>339</v>
      </c>
      <c r="B23" s="16"/>
      <c r="C23" s="31">
        <v>217</v>
      </c>
      <c r="D23" s="31">
        <v>135</v>
      </c>
      <c r="E23" s="16"/>
      <c r="F23" s="16"/>
      <c r="G23" s="32">
        <v>6.04</v>
      </c>
      <c r="H23" s="16"/>
      <c r="I23" s="16"/>
      <c r="J23" s="16"/>
      <c r="K23" s="16"/>
      <c r="L23" s="32">
        <v>4.8</v>
      </c>
      <c r="M23" s="32">
        <v>12.3</v>
      </c>
      <c r="O23" s="109" t="s">
        <v>334</v>
      </c>
    </row>
    <row r="24" spans="1:15">
      <c r="A24" s="112" t="s">
        <v>339</v>
      </c>
      <c r="B24" s="16"/>
      <c r="C24" s="31">
        <v>252</v>
      </c>
      <c r="D24" s="31">
        <v>184</v>
      </c>
      <c r="E24" s="16"/>
      <c r="F24" s="16"/>
      <c r="G24" s="32">
        <v>4.5</v>
      </c>
      <c r="H24" s="16"/>
      <c r="I24" s="16"/>
      <c r="J24" s="16"/>
      <c r="K24" s="16"/>
      <c r="L24" s="32">
        <v>2.2400000000000002</v>
      </c>
      <c r="M24" s="32">
        <v>13.9</v>
      </c>
      <c r="O24" s="109" t="s">
        <v>334</v>
      </c>
    </row>
    <row r="25" spans="1:15">
      <c r="A25" s="112" t="s">
        <v>339</v>
      </c>
      <c r="B25" s="16"/>
      <c r="C25" s="31">
        <v>290</v>
      </c>
      <c r="D25" s="31">
        <v>197</v>
      </c>
      <c r="E25" s="16"/>
      <c r="F25" s="16"/>
      <c r="G25" s="32">
        <v>6.1</v>
      </c>
      <c r="H25" s="16"/>
      <c r="I25" s="16"/>
      <c r="J25" s="16"/>
      <c r="K25" s="16"/>
      <c r="L25" s="32">
        <v>4.8</v>
      </c>
      <c r="M25" s="32">
        <v>14.8</v>
      </c>
      <c r="O25" s="109" t="s">
        <v>334</v>
      </c>
    </row>
    <row r="26" spans="1:15">
      <c r="A26" s="112" t="s">
        <v>339</v>
      </c>
      <c r="B26" s="16"/>
      <c r="C26" s="31">
        <v>242</v>
      </c>
      <c r="D26" s="31">
        <v>128</v>
      </c>
      <c r="E26" s="16"/>
      <c r="F26" s="16"/>
      <c r="G26" s="32">
        <v>4.92</v>
      </c>
      <c r="H26" s="16"/>
      <c r="I26" s="16"/>
      <c r="J26" s="16"/>
      <c r="K26" s="16"/>
      <c r="L26" s="32">
        <v>3.54</v>
      </c>
      <c r="M26" s="32">
        <v>12.5</v>
      </c>
      <c r="O26" s="109" t="s">
        <v>334</v>
      </c>
    </row>
    <row r="27" spans="1:15">
      <c r="A27" s="112" t="s">
        <v>340</v>
      </c>
      <c r="B27" s="16"/>
      <c r="C27" s="31">
        <v>401</v>
      </c>
      <c r="D27" s="31">
        <v>153</v>
      </c>
      <c r="E27" s="16"/>
      <c r="F27" s="16"/>
      <c r="G27" s="32">
        <v>5.8</v>
      </c>
      <c r="H27" s="16"/>
      <c r="I27" s="16"/>
      <c r="J27" s="16"/>
      <c r="K27" s="16"/>
      <c r="L27" s="32">
        <v>3</v>
      </c>
      <c r="M27" s="32">
        <v>12</v>
      </c>
      <c r="O27" s="109" t="s">
        <v>334</v>
      </c>
    </row>
    <row r="28" spans="1:15">
      <c r="A28" s="112" t="s">
        <v>340</v>
      </c>
      <c r="B28" s="16"/>
      <c r="C28" s="31">
        <v>350</v>
      </c>
      <c r="D28" s="31">
        <v>153</v>
      </c>
      <c r="E28" s="16"/>
      <c r="F28" s="16"/>
      <c r="G28" s="32">
        <v>5.8</v>
      </c>
      <c r="H28" s="16"/>
      <c r="I28" s="16"/>
      <c r="J28" s="16"/>
      <c r="K28" s="16"/>
      <c r="L28" s="32">
        <v>3.6</v>
      </c>
      <c r="M28" s="32">
        <v>7</v>
      </c>
      <c r="O28" s="109" t="s">
        <v>334</v>
      </c>
    </row>
    <row r="29" spans="1:15">
      <c r="A29" s="112" t="s">
        <v>340</v>
      </c>
      <c r="B29" s="16"/>
      <c r="C29" s="31">
        <v>323</v>
      </c>
      <c r="D29" s="31">
        <v>158</v>
      </c>
      <c r="E29" s="16"/>
      <c r="F29" s="16"/>
      <c r="G29" s="32">
        <v>5.4</v>
      </c>
      <c r="H29" s="16"/>
      <c r="I29" s="16"/>
      <c r="J29" s="16"/>
      <c r="K29" s="16"/>
      <c r="L29" s="32">
        <v>5.3</v>
      </c>
      <c r="M29" s="32">
        <v>13.84</v>
      </c>
      <c r="O29" s="109" t="s">
        <v>334</v>
      </c>
    </row>
    <row r="30" spans="1:15">
      <c r="A30" s="112" t="s">
        <v>340</v>
      </c>
      <c r="B30" s="16"/>
      <c r="C30" s="31">
        <v>293</v>
      </c>
      <c r="D30" s="31">
        <v>173</v>
      </c>
      <c r="E30" s="16"/>
      <c r="F30" s="16"/>
      <c r="G30" s="32">
        <v>4.9000000000000004</v>
      </c>
      <c r="H30" s="16"/>
      <c r="I30" s="16"/>
      <c r="J30" s="16"/>
      <c r="K30" s="16"/>
      <c r="L30" s="32">
        <v>3.62</v>
      </c>
      <c r="M30" s="32">
        <v>9.3000000000000007</v>
      </c>
      <c r="O30" s="109" t="s">
        <v>334</v>
      </c>
    </row>
    <row r="31" spans="1:15">
      <c r="A31" s="112" t="s">
        <v>340</v>
      </c>
      <c r="B31" s="16"/>
      <c r="C31" s="31">
        <v>293</v>
      </c>
      <c r="D31" s="31">
        <v>173</v>
      </c>
      <c r="E31" s="16"/>
      <c r="F31" s="16"/>
      <c r="G31" s="32">
        <v>4.8</v>
      </c>
      <c r="H31" s="16"/>
      <c r="I31" s="16"/>
      <c r="J31" s="16"/>
      <c r="K31" s="16"/>
      <c r="L31" s="32">
        <v>3.3</v>
      </c>
      <c r="M31" s="32">
        <v>9.1</v>
      </c>
      <c r="O31" s="109" t="s">
        <v>334</v>
      </c>
    </row>
    <row r="32" spans="1:15">
      <c r="A32" s="112" t="s">
        <v>340</v>
      </c>
      <c r="B32" s="16"/>
      <c r="C32" s="31">
        <v>290</v>
      </c>
      <c r="D32" s="31">
        <v>190</v>
      </c>
      <c r="E32" s="16"/>
      <c r="F32" s="16"/>
      <c r="G32" s="32">
        <v>5.8</v>
      </c>
      <c r="H32" s="16"/>
      <c r="I32" s="16"/>
      <c r="J32" s="16"/>
      <c r="K32" s="16"/>
      <c r="L32" s="32">
        <v>3</v>
      </c>
      <c r="M32" s="32">
        <v>7</v>
      </c>
      <c r="O32" s="109" t="s">
        <v>334</v>
      </c>
    </row>
    <row r="33" spans="1:15">
      <c r="A33" s="30"/>
      <c r="B33" s="16"/>
      <c r="C33" s="31"/>
      <c r="D33" s="31"/>
      <c r="E33" s="16"/>
      <c r="F33" s="16"/>
      <c r="G33" s="31"/>
      <c r="H33" s="16"/>
      <c r="I33" s="16"/>
      <c r="J33" s="16"/>
      <c r="K33" s="16"/>
      <c r="L33" s="31"/>
      <c r="M33" s="31"/>
    </row>
    <row r="34" spans="1:15">
      <c r="A34" s="53" t="s">
        <v>349</v>
      </c>
      <c r="B34" s="16"/>
      <c r="C34" s="111">
        <f>AVERAGE(C19:C32)</f>
        <v>278.21428571428572</v>
      </c>
      <c r="D34" s="111">
        <f>AVERAGE(D19:D32)</f>
        <v>154.57142857142858</v>
      </c>
      <c r="E34" s="16"/>
      <c r="F34" s="16"/>
      <c r="G34" s="32">
        <f>AVERAGE(G19:G32)</f>
        <v>5.2899999999999991</v>
      </c>
      <c r="H34" s="16"/>
      <c r="I34" s="16"/>
      <c r="J34" s="16"/>
      <c r="K34" s="16"/>
      <c r="L34" s="32">
        <f>AVERAGE(L19:L32)</f>
        <v>3.6214285714285706</v>
      </c>
      <c r="M34" s="32">
        <f>AVERAGE(M19:M32)</f>
        <v>10.474285714285715</v>
      </c>
    </row>
    <row r="35" spans="1:15">
      <c r="A35" s="53" t="s">
        <v>177</v>
      </c>
      <c r="B35" s="16"/>
      <c r="C35" s="111">
        <f>_xlfn.STDEV.S(C19:C32)</f>
        <v>61.611910151588916</v>
      </c>
      <c r="D35" s="111">
        <f>_xlfn.STDEV.S(D19:D32)</f>
        <v>29.479365105662769</v>
      </c>
      <c r="E35" s="16"/>
      <c r="F35" s="16"/>
      <c r="G35" s="32">
        <f>_xlfn.STDEV.S(G19:G32)</f>
        <v>0.75348421452507652</v>
      </c>
      <c r="H35" s="16"/>
      <c r="I35" s="16"/>
      <c r="J35" s="16"/>
      <c r="K35" s="16"/>
      <c r="L35" s="32">
        <f>_xlfn.STDEV.S(L19:L32)</f>
        <v>0.8542190058118091</v>
      </c>
      <c r="M35" s="32">
        <f>_xlfn.STDEV.S(M19:M32)</f>
        <v>3.0563470259211574</v>
      </c>
    </row>
    <row r="36" spans="1:15">
      <c r="A36" s="53"/>
      <c r="B36" s="16"/>
      <c r="C36" s="31"/>
      <c r="D36" s="31"/>
      <c r="E36" s="16"/>
      <c r="F36" s="16"/>
      <c r="G36" s="31"/>
      <c r="H36" s="16"/>
      <c r="I36" s="16"/>
      <c r="J36" s="16"/>
      <c r="K36" s="16"/>
      <c r="L36" s="31"/>
      <c r="M36" s="31"/>
    </row>
    <row r="37" spans="1:15">
      <c r="A37" s="55" t="s">
        <v>372</v>
      </c>
      <c r="B37" s="16"/>
      <c r="C37" s="31"/>
      <c r="D37" s="31"/>
      <c r="E37" s="16"/>
      <c r="F37" s="16"/>
      <c r="G37" s="31"/>
      <c r="H37" s="16"/>
      <c r="I37" s="16"/>
      <c r="J37" s="16"/>
      <c r="K37" s="16"/>
      <c r="L37" s="31"/>
      <c r="M37" s="31"/>
    </row>
    <row r="38" spans="1:15">
      <c r="A38" s="30" t="s">
        <v>373</v>
      </c>
      <c r="B38" s="16">
        <v>1.1000000000000001</v>
      </c>
      <c r="C38" s="31"/>
      <c r="D38" s="31"/>
      <c r="E38" s="16"/>
      <c r="F38" s="16"/>
      <c r="G38" s="138" t="s">
        <v>379</v>
      </c>
      <c r="H38" s="16"/>
      <c r="I38" s="16"/>
      <c r="J38" s="16"/>
      <c r="K38" s="16"/>
      <c r="L38" s="31"/>
      <c r="M38" s="31"/>
      <c r="O38" s="35" t="s">
        <v>380</v>
      </c>
    </row>
    <row r="39" spans="1:15">
      <c r="A39" s="30" t="s">
        <v>373</v>
      </c>
      <c r="B39" s="16"/>
      <c r="C39" s="31"/>
      <c r="D39" s="31"/>
      <c r="E39" s="16"/>
      <c r="F39" s="16"/>
      <c r="G39" s="31" t="s">
        <v>374</v>
      </c>
      <c r="H39" s="16"/>
      <c r="I39" s="16"/>
      <c r="J39" s="16"/>
      <c r="K39" s="16"/>
      <c r="L39" s="31"/>
      <c r="M39" s="31"/>
      <c r="O39" s="35" t="s">
        <v>375</v>
      </c>
    </row>
    <row r="40" spans="1:15">
      <c r="A40" s="30" t="s">
        <v>377</v>
      </c>
      <c r="B40" s="16">
        <v>1.2</v>
      </c>
      <c r="C40" s="31"/>
      <c r="D40" s="31"/>
      <c r="E40" s="16"/>
      <c r="F40" s="16"/>
      <c r="G40" s="31">
        <v>79</v>
      </c>
      <c r="H40" s="16"/>
      <c r="I40" s="16"/>
      <c r="J40" s="16"/>
      <c r="K40" s="16"/>
      <c r="L40" s="31"/>
      <c r="M40" s="31"/>
      <c r="O40" s="35" t="s">
        <v>378</v>
      </c>
    </row>
    <row r="41" spans="1:15">
      <c r="A41" s="30" t="s">
        <v>376</v>
      </c>
      <c r="B41" s="16">
        <v>1.1499999999999999</v>
      </c>
      <c r="C41" s="31"/>
      <c r="D41" s="31"/>
      <c r="E41" s="16"/>
      <c r="F41" s="16"/>
      <c r="G41" s="31">
        <v>57</v>
      </c>
      <c r="H41" s="16"/>
      <c r="I41" s="16"/>
      <c r="J41" s="16"/>
      <c r="K41" s="16"/>
      <c r="L41" s="31"/>
      <c r="M41" s="31"/>
    </row>
    <row r="42" spans="1:15">
      <c r="A42" s="53"/>
      <c r="B42" s="16"/>
      <c r="C42" s="31"/>
      <c r="D42" s="31"/>
      <c r="E42" s="16"/>
      <c r="F42" s="16"/>
      <c r="H42" s="16"/>
      <c r="I42" s="16"/>
      <c r="J42" s="16"/>
      <c r="K42" s="16"/>
      <c r="L42" s="31"/>
      <c r="M42" s="31"/>
    </row>
    <row r="43" spans="1:15">
      <c r="A43" s="53"/>
      <c r="B43" s="16"/>
      <c r="C43" s="31"/>
      <c r="D43" s="31"/>
      <c r="E43" s="16"/>
      <c r="F43" s="16"/>
      <c r="G43" s="31"/>
      <c r="H43" s="16"/>
      <c r="I43" s="16"/>
      <c r="J43" s="16"/>
      <c r="K43" s="16"/>
      <c r="L43" s="31"/>
      <c r="M43" s="31"/>
    </row>
    <row r="44" spans="1:15">
      <c r="A44" s="53"/>
      <c r="B44" s="16"/>
      <c r="C44" s="31"/>
      <c r="D44" s="31"/>
      <c r="E44" s="16"/>
      <c r="F44" s="16"/>
      <c r="G44" s="31"/>
      <c r="H44" s="16"/>
      <c r="I44" s="16"/>
      <c r="J44" s="16"/>
      <c r="K44" s="16"/>
      <c r="L44" s="31"/>
      <c r="M44" s="31"/>
    </row>
    <row r="45" spans="1:15">
      <c r="A45" s="53"/>
      <c r="B45" s="16"/>
      <c r="C45" s="31"/>
      <c r="D45" s="31"/>
      <c r="E45" s="16"/>
      <c r="F45" s="16"/>
      <c r="G45" s="31"/>
      <c r="H45" s="16"/>
      <c r="I45" s="16"/>
      <c r="J45" s="16"/>
      <c r="K45" s="16"/>
      <c r="L45" s="31"/>
      <c r="M45" s="31"/>
    </row>
    <row r="46" spans="1:15">
      <c r="A46" s="53"/>
      <c r="B46" s="16"/>
      <c r="C46" s="31"/>
      <c r="D46" s="31"/>
      <c r="E46" s="16"/>
      <c r="F46" s="16"/>
      <c r="G46" s="31"/>
      <c r="H46" s="16"/>
      <c r="I46" s="16"/>
      <c r="J46" s="16"/>
      <c r="K46" s="16"/>
      <c r="L46" s="31"/>
      <c r="M46" s="31"/>
    </row>
    <row r="47" spans="1:15">
      <c r="A47" s="53"/>
      <c r="B47" s="16"/>
      <c r="C47" s="31"/>
      <c r="D47" s="31"/>
      <c r="E47" s="16"/>
      <c r="F47" s="16"/>
      <c r="G47" s="31"/>
      <c r="H47" s="16"/>
      <c r="I47" s="16"/>
      <c r="J47" s="16"/>
      <c r="K47" s="16"/>
      <c r="L47" s="31"/>
      <c r="M47" s="31"/>
    </row>
    <row r="48" spans="1:15">
      <c r="A48" s="53"/>
      <c r="B48" s="16"/>
      <c r="C48" s="31"/>
      <c r="D48" s="31"/>
      <c r="E48" s="16"/>
      <c r="F48" s="16"/>
      <c r="G48" s="31"/>
      <c r="H48" s="16"/>
      <c r="I48" s="16"/>
      <c r="J48" s="16"/>
      <c r="K48" s="16"/>
      <c r="L48" s="31"/>
      <c r="M48" s="31"/>
    </row>
    <row r="49" spans="1:15">
      <c r="A49" s="30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O49" s="17"/>
    </row>
    <row r="50" spans="1:15">
      <c r="A50" s="47" t="s">
        <v>103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O50" s="17"/>
    </row>
    <row r="51" spans="1:15">
      <c r="A51" s="35" t="s">
        <v>36</v>
      </c>
      <c r="B51" s="48"/>
      <c r="C51" s="35">
        <v>620</v>
      </c>
      <c r="D51" s="35">
        <v>410</v>
      </c>
      <c r="G51" s="41">
        <v>38</v>
      </c>
      <c r="H51" s="37"/>
      <c r="I51" s="37"/>
      <c r="L51" s="41">
        <v>5</v>
      </c>
      <c r="M51" s="41">
        <v>102</v>
      </c>
      <c r="N51" s="41"/>
      <c r="O51" s="35" t="s">
        <v>39</v>
      </c>
    </row>
    <row r="52" spans="1:15">
      <c r="A52" s="35" t="s">
        <v>103</v>
      </c>
      <c r="B52" s="48"/>
      <c r="C52" s="35">
        <v>600</v>
      </c>
      <c r="D52" s="35">
        <v>450</v>
      </c>
      <c r="G52" s="41">
        <v>30</v>
      </c>
      <c r="H52" s="37"/>
      <c r="I52" s="37"/>
      <c r="L52" s="41">
        <v>15</v>
      </c>
      <c r="M52" s="41">
        <v>100</v>
      </c>
      <c r="N52" s="41"/>
      <c r="O52" s="35" t="s">
        <v>105</v>
      </c>
    </row>
    <row r="53" spans="1:15">
      <c r="A53" s="35" t="s">
        <v>103</v>
      </c>
      <c r="B53" s="48"/>
      <c r="G53" s="41">
        <v>30</v>
      </c>
      <c r="H53" s="37"/>
      <c r="I53" s="37"/>
      <c r="L53" s="41">
        <v>2</v>
      </c>
      <c r="M53" s="41">
        <v>65</v>
      </c>
      <c r="N53" s="41"/>
      <c r="O53" s="35" t="s">
        <v>104</v>
      </c>
    </row>
    <row r="54" spans="1:15">
      <c r="A54" s="35" t="s">
        <v>103</v>
      </c>
      <c r="B54" s="16"/>
      <c r="C54" s="35">
        <v>430</v>
      </c>
      <c r="D54" s="35">
        <v>357</v>
      </c>
      <c r="E54" s="16"/>
      <c r="F54" s="16">
        <v>326</v>
      </c>
      <c r="G54" s="35">
        <v>32.299999999999997</v>
      </c>
      <c r="H54" s="35">
        <v>17.03</v>
      </c>
      <c r="I54" s="35">
        <v>15.3</v>
      </c>
      <c r="J54" s="38">
        <f>I54/G54</f>
        <v>0.47368421052631587</v>
      </c>
      <c r="K54" s="35">
        <v>7.6</v>
      </c>
      <c r="L54" s="37">
        <v>3</v>
      </c>
      <c r="M54" s="35">
        <v>20.9</v>
      </c>
      <c r="O54" s="35" t="s">
        <v>94</v>
      </c>
    </row>
    <row r="55" spans="1:15">
      <c r="B55" s="16"/>
      <c r="E55" s="16"/>
      <c r="F55" s="16"/>
      <c r="K55" s="37"/>
      <c r="M55" s="16"/>
    </row>
    <row r="56" spans="1:15">
      <c r="A56" s="47" t="s">
        <v>96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O56" s="17"/>
    </row>
    <row r="57" spans="1:15">
      <c r="A57" s="35" t="s">
        <v>52</v>
      </c>
      <c r="B57" s="48">
        <v>1.3</v>
      </c>
      <c r="C57" s="35">
        <v>550</v>
      </c>
      <c r="D57" s="35">
        <v>430</v>
      </c>
      <c r="G57" s="41">
        <v>20</v>
      </c>
      <c r="H57" s="37"/>
      <c r="I57" s="37"/>
      <c r="L57" s="41"/>
      <c r="M57" s="41">
        <v>70</v>
      </c>
      <c r="N57" s="41"/>
      <c r="O57" s="35" t="s">
        <v>57</v>
      </c>
    </row>
    <row r="58" spans="1:15">
      <c r="A58" s="35" t="s">
        <v>96</v>
      </c>
      <c r="B58" s="48"/>
      <c r="C58" s="35">
        <v>600</v>
      </c>
      <c r="D58" s="35">
        <v>350</v>
      </c>
      <c r="G58" s="41">
        <v>25</v>
      </c>
      <c r="H58" s="37"/>
      <c r="I58" s="37"/>
      <c r="L58" s="41">
        <v>13</v>
      </c>
      <c r="M58" s="41">
        <v>90</v>
      </c>
      <c r="N58" s="41"/>
      <c r="O58" s="35" t="s">
        <v>105</v>
      </c>
    </row>
    <row r="59" spans="1:15">
      <c r="A59" s="35" t="s">
        <v>96</v>
      </c>
      <c r="B59" s="48"/>
      <c r="G59" s="41">
        <v>30</v>
      </c>
      <c r="H59" s="37"/>
      <c r="I59" s="37"/>
      <c r="L59" s="41">
        <v>15</v>
      </c>
      <c r="M59" s="41">
        <v>90</v>
      </c>
      <c r="N59" s="41"/>
      <c r="O59" s="35" t="s">
        <v>104</v>
      </c>
    </row>
    <row r="60" spans="1:15">
      <c r="A60" s="35" t="s">
        <v>96</v>
      </c>
      <c r="B60" s="48"/>
      <c r="G60" s="41">
        <v>20</v>
      </c>
      <c r="H60" s="37"/>
      <c r="I60" s="37"/>
      <c r="L60" s="41">
        <v>14</v>
      </c>
      <c r="M60" s="41">
        <v>80</v>
      </c>
      <c r="N60" s="41"/>
      <c r="O60" s="35" t="s">
        <v>107</v>
      </c>
    </row>
    <row r="61" spans="1:15">
      <c r="A61" s="35" t="s">
        <v>96</v>
      </c>
      <c r="B61" s="48"/>
      <c r="C61" s="35">
        <v>536</v>
      </c>
      <c r="D61" s="35">
        <v>357</v>
      </c>
      <c r="F61" s="35">
        <v>510</v>
      </c>
      <c r="G61" s="35">
        <v>27.2</v>
      </c>
      <c r="H61" s="35">
        <v>1.67</v>
      </c>
      <c r="I61" s="35">
        <v>25.6</v>
      </c>
      <c r="J61" s="38">
        <f>I61/G61</f>
        <v>0.94117647058823539</v>
      </c>
      <c r="K61" s="35">
        <v>7.1</v>
      </c>
      <c r="L61" s="35">
        <v>14.4</v>
      </c>
      <c r="M61" s="35">
        <v>95.7</v>
      </c>
      <c r="N61" s="41"/>
      <c r="O61" s="35" t="s">
        <v>94</v>
      </c>
    </row>
    <row r="62" spans="1:15">
      <c r="B62" s="48"/>
      <c r="G62" s="41"/>
      <c r="H62" s="37"/>
      <c r="I62" s="37"/>
      <c r="L62" s="41"/>
      <c r="M62" s="41"/>
      <c r="N62" s="41"/>
    </row>
    <row r="63" spans="1:15">
      <c r="A63" s="18" t="s">
        <v>47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O63" s="17"/>
    </row>
    <row r="64" spans="1:15">
      <c r="A64" s="35" t="s">
        <v>112</v>
      </c>
      <c r="G64" s="41">
        <v>120</v>
      </c>
      <c r="O64" s="35" t="s">
        <v>57</v>
      </c>
    </row>
    <row r="65" spans="1:17">
      <c r="A65" s="35" t="s">
        <v>113</v>
      </c>
      <c r="G65" s="41">
        <v>130</v>
      </c>
      <c r="O65" s="35" t="s">
        <v>89</v>
      </c>
    </row>
    <row r="66" spans="1:17">
      <c r="A66" s="35" t="s">
        <v>114</v>
      </c>
      <c r="G66" s="41">
        <v>130</v>
      </c>
      <c r="O66" s="35" t="s">
        <v>90</v>
      </c>
    </row>
    <row r="67" spans="1:17">
      <c r="A67" s="35" t="s">
        <v>115</v>
      </c>
      <c r="G67" s="41">
        <v>130</v>
      </c>
      <c r="O67" s="35" t="s">
        <v>91</v>
      </c>
    </row>
    <row r="68" spans="1:17">
      <c r="A68" s="35" t="s">
        <v>114</v>
      </c>
      <c r="G68" s="41">
        <v>113</v>
      </c>
      <c r="L68" s="35">
        <v>19</v>
      </c>
      <c r="M68" s="35">
        <v>7</v>
      </c>
      <c r="O68" s="35" t="s">
        <v>110</v>
      </c>
    </row>
    <row r="69" spans="1:17">
      <c r="A69" s="35" t="s">
        <v>47</v>
      </c>
      <c r="C69" s="33" t="s">
        <v>130</v>
      </c>
      <c r="D69" s="35">
        <v>840</v>
      </c>
      <c r="G69" s="34" t="s">
        <v>129</v>
      </c>
      <c r="K69" s="33" t="s">
        <v>131</v>
      </c>
      <c r="L69" s="35">
        <v>0</v>
      </c>
      <c r="M69" s="35">
        <v>0</v>
      </c>
      <c r="O69" s="35" t="s">
        <v>128</v>
      </c>
    </row>
    <row r="70" spans="1:17">
      <c r="A70" s="84" t="s">
        <v>330</v>
      </c>
      <c r="B70" s="84"/>
      <c r="C70" s="84"/>
      <c r="D70" s="84"/>
      <c r="E70" s="84"/>
      <c r="F70" s="84"/>
      <c r="G70" s="89">
        <v>110</v>
      </c>
      <c r="H70" s="86"/>
      <c r="I70" s="107"/>
      <c r="J70" s="84"/>
      <c r="K70" s="84"/>
      <c r="L70" s="89">
        <v>19</v>
      </c>
      <c r="M70" s="86"/>
      <c r="N70" s="84"/>
      <c r="O70" s="24" t="s">
        <v>234</v>
      </c>
      <c r="P70"/>
      <c r="Q70"/>
    </row>
    <row r="72" spans="1:17">
      <c r="A72" s="47" t="s">
        <v>331</v>
      </c>
    </row>
    <row r="73" spans="1:17">
      <c r="A73" s="35" t="s">
        <v>49</v>
      </c>
      <c r="G73" s="34">
        <v>130</v>
      </c>
    </row>
    <row r="74" spans="1:17">
      <c r="A74" s="35" t="s">
        <v>49</v>
      </c>
      <c r="G74" s="34">
        <v>140</v>
      </c>
    </row>
    <row r="75" spans="1:17">
      <c r="A75" s="35" t="s">
        <v>49</v>
      </c>
      <c r="C75" s="35">
        <v>927</v>
      </c>
      <c r="D75" s="35">
        <v>755</v>
      </c>
      <c r="F75" s="35">
        <v>524</v>
      </c>
      <c r="G75" s="41">
        <v>109.9</v>
      </c>
      <c r="H75" s="41">
        <v>3.1</v>
      </c>
      <c r="I75" s="41">
        <v>106.8</v>
      </c>
      <c r="J75" s="38">
        <f>I75/G75</f>
        <v>0.97179253867151949</v>
      </c>
      <c r="K75" s="37">
        <v>3.7</v>
      </c>
      <c r="L75" s="35">
        <v>13.8</v>
      </c>
      <c r="M75" s="37">
        <v>14</v>
      </c>
      <c r="O75" s="35" t="s">
        <v>94</v>
      </c>
    </row>
    <row r="76" spans="1:17">
      <c r="A76" s="35" t="s">
        <v>49</v>
      </c>
      <c r="C76" s="33" t="s">
        <v>130</v>
      </c>
      <c r="D76" s="33" t="s">
        <v>181</v>
      </c>
      <c r="G76" s="34" t="s">
        <v>133</v>
      </c>
      <c r="H76" s="41"/>
      <c r="I76" s="41"/>
      <c r="J76" s="38"/>
      <c r="K76" s="37">
        <v>3.7</v>
      </c>
      <c r="L76" s="33" t="s">
        <v>134</v>
      </c>
      <c r="M76" s="36" t="s">
        <v>134</v>
      </c>
      <c r="O76" s="35" t="s">
        <v>128</v>
      </c>
    </row>
    <row r="77" spans="1:17">
      <c r="A77" s="84" t="s">
        <v>49</v>
      </c>
      <c r="B77" s="84"/>
      <c r="C77" s="84"/>
      <c r="D77" s="84"/>
      <c r="E77" s="84"/>
      <c r="F77" s="84"/>
      <c r="G77" s="89">
        <v>109</v>
      </c>
      <c r="H77" s="86"/>
      <c r="I77" s="86"/>
      <c r="J77" s="84"/>
      <c r="K77" s="84"/>
      <c r="L77" s="89">
        <v>14</v>
      </c>
      <c r="M77" s="86"/>
      <c r="N77" s="84"/>
      <c r="O77" s="24" t="s">
        <v>234</v>
      </c>
      <c r="P77" s="24"/>
    </row>
    <row r="78" spans="1:17">
      <c r="A78" s="35" t="s">
        <v>132</v>
      </c>
      <c r="C78" s="33" t="s">
        <v>130</v>
      </c>
      <c r="D78" s="33" t="s">
        <v>181</v>
      </c>
      <c r="G78" s="34" t="s">
        <v>108</v>
      </c>
      <c r="H78" s="41"/>
      <c r="I78" s="41"/>
      <c r="J78" s="38"/>
      <c r="K78" s="37"/>
      <c r="L78" s="35">
        <v>0</v>
      </c>
      <c r="M78" s="41">
        <v>0</v>
      </c>
      <c r="O78" s="35" t="s">
        <v>128</v>
      </c>
    </row>
    <row r="80" spans="1:17">
      <c r="A80" s="47" t="s">
        <v>48</v>
      </c>
    </row>
    <row r="81" spans="1:15">
      <c r="A81" s="42" t="s">
        <v>116</v>
      </c>
      <c r="G81" s="35">
        <v>60</v>
      </c>
      <c r="L81" s="35">
        <v>180</v>
      </c>
      <c r="O81" s="35" t="s">
        <v>123</v>
      </c>
    </row>
    <row r="82" spans="1:15">
      <c r="A82" s="42" t="s">
        <v>117</v>
      </c>
      <c r="G82" s="35">
        <v>50</v>
      </c>
      <c r="L82" s="35">
        <v>150</v>
      </c>
      <c r="O82" s="35" t="s">
        <v>89</v>
      </c>
    </row>
    <row r="83" spans="1:15">
      <c r="A83" s="42" t="s">
        <v>118</v>
      </c>
      <c r="G83" s="35">
        <v>50</v>
      </c>
      <c r="L83" s="35">
        <v>160</v>
      </c>
      <c r="O83" s="35" t="s">
        <v>90</v>
      </c>
    </row>
    <row r="84" spans="1:15">
      <c r="A84" s="42" t="s">
        <v>119</v>
      </c>
      <c r="G84" s="35">
        <v>60</v>
      </c>
      <c r="L84" s="35">
        <v>160</v>
      </c>
      <c r="O84" s="35" t="s">
        <v>91</v>
      </c>
    </row>
    <row r="85" spans="1:15">
      <c r="A85" s="42" t="s">
        <v>48</v>
      </c>
      <c r="C85" s="33" t="s">
        <v>130</v>
      </c>
      <c r="D85" s="35">
        <v>570</v>
      </c>
      <c r="G85" s="33" t="s">
        <v>135</v>
      </c>
      <c r="K85" s="35">
        <v>4.2</v>
      </c>
      <c r="L85" s="33" t="s">
        <v>136</v>
      </c>
      <c r="M85" s="35">
        <v>0</v>
      </c>
      <c r="O85" s="35" t="s">
        <v>128</v>
      </c>
    </row>
    <row r="87" spans="1:15">
      <c r="A87" s="47" t="s">
        <v>51</v>
      </c>
    </row>
    <row r="88" spans="1:15">
      <c r="A88" s="35" t="s">
        <v>120</v>
      </c>
      <c r="G88" s="35">
        <v>140</v>
      </c>
      <c r="O88" s="35" t="s">
        <v>57</v>
      </c>
    </row>
    <row r="89" spans="1:15">
      <c r="A89" s="35" t="s">
        <v>51</v>
      </c>
      <c r="G89" s="35">
        <v>130</v>
      </c>
    </row>
    <row r="91" spans="1:15">
      <c r="A91" s="47" t="s">
        <v>54</v>
      </c>
    </row>
    <row r="92" spans="1:15">
      <c r="A92" s="35" t="s">
        <v>54</v>
      </c>
      <c r="G92" s="35">
        <v>140</v>
      </c>
      <c r="L92" s="35">
        <v>0</v>
      </c>
      <c r="M92" s="35">
        <v>0</v>
      </c>
    </row>
    <row r="94" spans="1:15">
      <c r="A94" s="47" t="s">
        <v>55</v>
      </c>
    </row>
    <row r="95" spans="1:15">
      <c r="A95" s="42" t="s">
        <v>164</v>
      </c>
      <c r="C95" s="33" t="s">
        <v>130</v>
      </c>
      <c r="D95" s="35">
        <v>650</v>
      </c>
      <c r="G95" s="33">
        <v>80</v>
      </c>
      <c r="K95" s="35">
        <v>3.5</v>
      </c>
      <c r="L95" s="33">
        <v>120</v>
      </c>
      <c r="M95" s="35">
        <v>0</v>
      </c>
      <c r="O95" s="35" t="s">
        <v>128</v>
      </c>
    </row>
    <row r="97" spans="1:15">
      <c r="A97" s="47" t="s">
        <v>50</v>
      </c>
    </row>
    <row r="98" spans="1:15">
      <c r="A98" s="35" t="s">
        <v>100</v>
      </c>
      <c r="C98" s="35">
        <v>902</v>
      </c>
      <c r="D98" s="35">
        <v>764</v>
      </c>
      <c r="F98" s="35">
        <v>441</v>
      </c>
      <c r="G98" s="35">
        <v>29.8</v>
      </c>
      <c r="H98" s="35">
        <v>0.44</v>
      </c>
      <c r="I98" s="35">
        <v>29.3</v>
      </c>
      <c r="K98" s="35">
        <v>11.5</v>
      </c>
      <c r="L98" s="37">
        <v>7.5</v>
      </c>
      <c r="M98" s="35">
        <v>37.799999999999997</v>
      </c>
      <c r="O98" s="35" t="s">
        <v>94</v>
      </c>
    </row>
    <row r="99" spans="1:15">
      <c r="A99" s="35" t="s">
        <v>121</v>
      </c>
      <c r="G99" s="35">
        <v>33</v>
      </c>
      <c r="L99" s="37">
        <v>8</v>
      </c>
      <c r="M99" s="35">
        <v>29</v>
      </c>
      <c r="O99" s="35" t="s">
        <v>110</v>
      </c>
    </row>
    <row r="100" spans="1:15">
      <c r="A100" s="35" t="s">
        <v>50</v>
      </c>
      <c r="C100" s="35">
        <v>900</v>
      </c>
      <c r="D100" s="35">
        <v>730</v>
      </c>
      <c r="G100" s="35">
        <v>30</v>
      </c>
      <c r="K100" s="35">
        <v>11.5</v>
      </c>
      <c r="L100" s="37">
        <v>10</v>
      </c>
      <c r="M100" s="35">
        <v>30</v>
      </c>
      <c r="O100" s="35" t="s">
        <v>128</v>
      </c>
    </row>
    <row r="101" spans="1:15">
      <c r="A101" s="84" t="s">
        <v>50</v>
      </c>
      <c r="B101" s="84"/>
      <c r="C101" s="84"/>
      <c r="D101" s="84"/>
      <c r="E101" s="84"/>
      <c r="F101" s="84"/>
      <c r="G101" s="89">
        <v>33</v>
      </c>
      <c r="H101" s="90"/>
      <c r="I101" s="86"/>
      <c r="J101" s="84"/>
      <c r="K101" s="84"/>
      <c r="L101" s="90">
        <v>8</v>
      </c>
      <c r="M101" s="86"/>
      <c r="N101" s="84"/>
      <c r="O101" s="24" t="s">
        <v>234</v>
      </c>
    </row>
    <row r="103" spans="1:15">
      <c r="A103" s="49" t="s">
        <v>109</v>
      </c>
    </row>
    <row r="104" spans="1:15">
      <c r="A104" s="35" t="s">
        <v>109</v>
      </c>
      <c r="G104" s="35">
        <v>26</v>
      </c>
      <c r="L104" s="35">
        <v>8</v>
      </c>
      <c r="M104" s="35">
        <v>27</v>
      </c>
      <c r="O104" s="35" t="s">
        <v>110</v>
      </c>
    </row>
    <row r="106" spans="1:15">
      <c r="A106" s="47" t="s">
        <v>142</v>
      </c>
    </row>
    <row r="107" spans="1:15">
      <c r="A107" s="35" t="s">
        <v>142</v>
      </c>
      <c r="C107" s="50">
        <v>890</v>
      </c>
      <c r="D107" s="51">
        <f>0.92*C107</f>
        <v>818.80000000000007</v>
      </c>
      <c r="G107" s="35">
        <v>70</v>
      </c>
      <c r="K107" s="35">
        <v>6.2</v>
      </c>
      <c r="L107" s="35">
        <v>20</v>
      </c>
      <c r="M107" s="35">
        <v>10</v>
      </c>
      <c r="O107" s="35" t="s">
        <v>128</v>
      </c>
    </row>
    <row r="109" spans="1:15">
      <c r="A109" s="47" t="s">
        <v>58</v>
      </c>
    </row>
    <row r="110" spans="1:15">
      <c r="A110" s="35" t="s">
        <v>58</v>
      </c>
      <c r="C110" s="35">
        <v>904</v>
      </c>
      <c r="D110" s="35">
        <v>827</v>
      </c>
      <c r="F110" s="35">
        <v>408</v>
      </c>
      <c r="G110" s="37">
        <v>45</v>
      </c>
      <c r="H110" s="35">
        <v>0.24</v>
      </c>
      <c r="I110" s="35">
        <v>44.8</v>
      </c>
      <c r="K110" s="35">
        <v>7.5</v>
      </c>
      <c r="L110" s="35">
        <v>19.899999999999999</v>
      </c>
      <c r="M110" s="35">
        <v>11.3</v>
      </c>
      <c r="O110" s="35" t="s">
        <v>94</v>
      </c>
    </row>
    <row r="111" spans="1:15">
      <c r="A111" s="35" t="s">
        <v>122</v>
      </c>
      <c r="G111" s="41">
        <v>50</v>
      </c>
      <c r="L111" s="35">
        <v>19</v>
      </c>
      <c r="M111" s="35">
        <v>13</v>
      </c>
      <c r="O111" s="35" t="s">
        <v>110</v>
      </c>
    </row>
    <row r="112" spans="1:15">
      <c r="A112" s="35" t="s">
        <v>58</v>
      </c>
      <c r="D112" s="35">
        <v>850</v>
      </c>
      <c r="G112" s="41">
        <v>50</v>
      </c>
      <c r="I112" s="35">
        <v>50</v>
      </c>
      <c r="J112" s="38">
        <v>1</v>
      </c>
      <c r="K112" s="37">
        <f>D112*0.45/I112</f>
        <v>7.65</v>
      </c>
      <c r="L112" s="35">
        <v>22</v>
      </c>
      <c r="M112" s="35">
        <v>18</v>
      </c>
      <c r="O112" s="35" t="s">
        <v>124</v>
      </c>
    </row>
    <row r="113" spans="1:16">
      <c r="A113" s="35" t="s">
        <v>58</v>
      </c>
      <c r="C113" s="35">
        <v>860</v>
      </c>
      <c r="D113" s="35">
        <v>780</v>
      </c>
      <c r="G113" s="34" t="s">
        <v>149</v>
      </c>
      <c r="J113" s="38"/>
      <c r="K113" s="41">
        <v>8</v>
      </c>
      <c r="L113" s="33" t="s">
        <v>150</v>
      </c>
      <c r="M113" s="52" t="s">
        <v>151</v>
      </c>
      <c r="O113" s="35" t="s">
        <v>128</v>
      </c>
    </row>
    <row r="114" spans="1:16">
      <c r="A114" t="s">
        <v>58</v>
      </c>
      <c r="B114"/>
      <c r="C114" s="84"/>
      <c r="D114" s="84"/>
      <c r="E114" s="84"/>
      <c r="F114"/>
      <c r="G114" s="51">
        <v>50</v>
      </c>
      <c r="H114" s="90"/>
      <c r="I114" s="75"/>
      <c r="J114"/>
      <c r="K114"/>
      <c r="L114" s="51">
        <v>19</v>
      </c>
      <c r="M114" s="78"/>
      <c r="N114"/>
      <c r="O114" s="24" t="s">
        <v>234</v>
      </c>
    </row>
    <row r="116" spans="1:16">
      <c r="A116" s="47" t="s">
        <v>61</v>
      </c>
    </row>
    <row r="117" spans="1:16">
      <c r="A117" s="35" t="s">
        <v>61</v>
      </c>
      <c r="C117" s="35">
        <v>900</v>
      </c>
      <c r="D117" s="35">
        <v>848</v>
      </c>
      <c r="F117" s="35">
        <v>479</v>
      </c>
      <c r="G117" s="35">
        <v>44.6</v>
      </c>
      <c r="H117" s="35">
        <v>0.13</v>
      </c>
      <c r="I117" s="35">
        <v>44.5</v>
      </c>
      <c r="K117" s="35">
        <v>9.1</v>
      </c>
      <c r="L117" s="35">
        <v>19.100000000000001</v>
      </c>
      <c r="M117" s="35">
        <v>11.6</v>
      </c>
      <c r="O117" s="35" t="s">
        <v>94</v>
      </c>
    </row>
    <row r="118" spans="1:16">
      <c r="A118" t="s">
        <v>61</v>
      </c>
      <c r="B118"/>
      <c r="C118" s="84"/>
      <c r="D118" s="84"/>
      <c r="E118" s="84"/>
      <c r="F118"/>
      <c r="G118" s="93">
        <v>45</v>
      </c>
      <c r="H118" s="93"/>
      <c r="L118" s="93">
        <v>19</v>
      </c>
      <c r="M118" s="78"/>
      <c r="N118"/>
      <c r="O118" s="24" t="s">
        <v>234</v>
      </c>
      <c r="P118"/>
    </row>
    <row r="120" spans="1:16">
      <c r="A120" s="47" t="s">
        <v>143</v>
      </c>
    </row>
    <row r="121" spans="1:16">
      <c r="A121" s="35" t="s">
        <v>143</v>
      </c>
      <c r="C121" s="35">
        <v>800</v>
      </c>
      <c r="D121" s="50">
        <f>0.95*C121</f>
        <v>760</v>
      </c>
      <c r="G121" s="35">
        <v>30</v>
      </c>
      <c r="K121" s="35">
        <v>14</v>
      </c>
      <c r="L121" s="35">
        <v>10</v>
      </c>
      <c r="M121" s="35">
        <v>30</v>
      </c>
      <c r="O121" s="35" t="s">
        <v>128</v>
      </c>
    </row>
    <row r="123" spans="1:16">
      <c r="A123" s="47" t="s">
        <v>106</v>
      </c>
    </row>
    <row r="124" spans="1:16">
      <c r="A124" s="35" t="s">
        <v>125</v>
      </c>
      <c r="D124" s="35">
        <v>700</v>
      </c>
      <c r="G124" s="35">
        <v>50</v>
      </c>
      <c r="L124" s="35">
        <v>30</v>
      </c>
      <c r="M124" s="35">
        <v>50</v>
      </c>
      <c r="O124" s="35" t="s">
        <v>59</v>
      </c>
    </row>
    <row r="125" spans="1:16">
      <c r="A125" s="35" t="s">
        <v>126</v>
      </c>
      <c r="D125" s="35">
        <v>800</v>
      </c>
      <c r="G125" s="35">
        <v>50</v>
      </c>
      <c r="L125" s="35">
        <v>10</v>
      </c>
      <c r="M125" s="35">
        <v>50</v>
      </c>
      <c r="O125" s="35" t="s">
        <v>59</v>
      </c>
    </row>
    <row r="126" spans="1:16">
      <c r="A126" s="35" t="s">
        <v>102</v>
      </c>
      <c r="C126" s="35">
        <v>879</v>
      </c>
      <c r="D126" s="35">
        <v>740</v>
      </c>
      <c r="F126" s="35">
        <v>476</v>
      </c>
      <c r="G126" s="35">
        <v>44.6</v>
      </c>
      <c r="H126" s="35">
        <v>1.62</v>
      </c>
      <c r="I126" s="35">
        <v>43</v>
      </c>
      <c r="K126" s="35">
        <v>8.1999999999999993</v>
      </c>
      <c r="L126" s="35">
        <v>12.4</v>
      </c>
      <c r="M126" s="35">
        <v>52.1</v>
      </c>
      <c r="O126" s="35" t="s">
        <v>94</v>
      </c>
    </row>
    <row r="127" spans="1:16">
      <c r="A127" s="35" t="s">
        <v>102</v>
      </c>
      <c r="G127" s="35">
        <v>55</v>
      </c>
      <c r="L127" s="35">
        <v>12</v>
      </c>
      <c r="M127" s="35">
        <v>47</v>
      </c>
      <c r="O127" s="35" t="s">
        <v>110</v>
      </c>
    </row>
    <row r="128" spans="1:16">
      <c r="A128" s="35" t="s">
        <v>144</v>
      </c>
      <c r="C128" s="35">
        <v>980</v>
      </c>
      <c r="D128" s="35">
        <v>670</v>
      </c>
      <c r="G128" s="33" t="s">
        <v>145</v>
      </c>
      <c r="L128" s="33" t="s">
        <v>134</v>
      </c>
      <c r="M128" s="33" t="s">
        <v>146</v>
      </c>
      <c r="O128" s="35" t="s">
        <v>128</v>
      </c>
    </row>
    <row r="130" spans="1:15">
      <c r="A130" s="47" t="s">
        <v>56</v>
      </c>
    </row>
    <row r="131" spans="1:15">
      <c r="A131" s="35" t="s">
        <v>127</v>
      </c>
    </row>
    <row r="133" spans="1:15">
      <c r="A133" s="47" t="s">
        <v>101</v>
      </c>
    </row>
    <row r="134" spans="1:15">
      <c r="A134" s="35" t="s">
        <v>147</v>
      </c>
      <c r="C134" s="35">
        <v>822</v>
      </c>
      <c r="D134" s="50">
        <v>482</v>
      </c>
      <c r="F134" s="35">
        <v>458</v>
      </c>
      <c r="G134" s="35">
        <v>26.9</v>
      </c>
      <c r="H134" s="37">
        <v>4</v>
      </c>
      <c r="I134" s="35">
        <v>22.9</v>
      </c>
      <c r="K134" s="35">
        <v>9.6</v>
      </c>
      <c r="L134" s="35">
        <v>9.8000000000000007</v>
      </c>
      <c r="M134" s="35">
        <v>12.7</v>
      </c>
      <c r="O134" s="35" t="s">
        <v>94</v>
      </c>
    </row>
    <row r="135" spans="1:15">
      <c r="A135" s="35" t="s">
        <v>147</v>
      </c>
      <c r="C135" s="35">
        <v>830</v>
      </c>
      <c r="D135" s="50">
        <f>0.6*C135</f>
        <v>498</v>
      </c>
      <c r="G135" s="35">
        <v>25</v>
      </c>
      <c r="K135" s="35">
        <v>12</v>
      </c>
      <c r="L135" s="35">
        <v>20</v>
      </c>
      <c r="M135" s="35">
        <v>20</v>
      </c>
      <c r="O135" s="35" t="s">
        <v>128</v>
      </c>
    </row>
    <row r="136" spans="1:15">
      <c r="A136" s="35" t="s">
        <v>148</v>
      </c>
      <c r="C136" s="35">
        <v>840</v>
      </c>
      <c r="D136" s="50">
        <f>0.7*C136</f>
        <v>588</v>
      </c>
      <c r="G136" s="35">
        <v>50</v>
      </c>
      <c r="K136" s="35">
        <v>6</v>
      </c>
      <c r="L136" s="35">
        <v>20</v>
      </c>
      <c r="M136" s="35">
        <v>20</v>
      </c>
      <c r="O136" s="35" t="s">
        <v>128</v>
      </c>
    </row>
    <row r="138" spans="1:15">
      <c r="A138" s="47" t="s">
        <v>140</v>
      </c>
    </row>
    <row r="139" spans="1:15">
      <c r="A139" s="35" t="s">
        <v>140</v>
      </c>
      <c r="C139" s="33">
        <v>840</v>
      </c>
      <c r="G139" s="17">
        <v>100</v>
      </c>
      <c r="H139" s="35">
        <v>100</v>
      </c>
      <c r="J139" s="38"/>
      <c r="K139" s="34"/>
      <c r="L139" s="17">
        <v>110</v>
      </c>
      <c r="M139" s="17">
        <v>20</v>
      </c>
      <c r="O139" s="35" t="s">
        <v>128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workbookViewId="0">
      <selection activeCell="I33" sqref="I33"/>
    </sheetView>
  </sheetViews>
  <sheetFormatPr defaultRowHeight="15"/>
  <cols>
    <col min="4" max="4" width="15" bestFit="1" customWidth="1"/>
    <col min="260" max="260" width="15" bestFit="1" customWidth="1"/>
    <col min="516" max="516" width="15" bestFit="1" customWidth="1"/>
    <col min="772" max="772" width="15" bestFit="1" customWidth="1"/>
    <col min="1028" max="1028" width="15" bestFit="1" customWidth="1"/>
    <col min="1284" max="1284" width="15" bestFit="1" customWidth="1"/>
    <col min="1540" max="1540" width="15" bestFit="1" customWidth="1"/>
    <col min="1796" max="1796" width="15" bestFit="1" customWidth="1"/>
    <col min="2052" max="2052" width="15" bestFit="1" customWidth="1"/>
    <col min="2308" max="2308" width="15" bestFit="1" customWidth="1"/>
    <col min="2564" max="2564" width="15" bestFit="1" customWidth="1"/>
    <col min="2820" max="2820" width="15" bestFit="1" customWidth="1"/>
    <col min="3076" max="3076" width="15" bestFit="1" customWidth="1"/>
    <col min="3332" max="3332" width="15" bestFit="1" customWidth="1"/>
    <col min="3588" max="3588" width="15" bestFit="1" customWidth="1"/>
    <col min="3844" max="3844" width="15" bestFit="1" customWidth="1"/>
    <col min="4100" max="4100" width="15" bestFit="1" customWidth="1"/>
    <col min="4356" max="4356" width="15" bestFit="1" customWidth="1"/>
    <col min="4612" max="4612" width="15" bestFit="1" customWidth="1"/>
    <col min="4868" max="4868" width="15" bestFit="1" customWidth="1"/>
    <col min="5124" max="5124" width="15" bestFit="1" customWidth="1"/>
    <col min="5380" max="5380" width="15" bestFit="1" customWidth="1"/>
    <col min="5636" max="5636" width="15" bestFit="1" customWidth="1"/>
    <col min="5892" max="5892" width="15" bestFit="1" customWidth="1"/>
    <col min="6148" max="6148" width="15" bestFit="1" customWidth="1"/>
    <col min="6404" max="6404" width="15" bestFit="1" customWidth="1"/>
    <col min="6660" max="6660" width="15" bestFit="1" customWidth="1"/>
    <col min="6916" max="6916" width="15" bestFit="1" customWidth="1"/>
    <col min="7172" max="7172" width="15" bestFit="1" customWidth="1"/>
    <col min="7428" max="7428" width="15" bestFit="1" customWidth="1"/>
    <col min="7684" max="7684" width="15" bestFit="1" customWidth="1"/>
    <col min="7940" max="7940" width="15" bestFit="1" customWidth="1"/>
    <col min="8196" max="8196" width="15" bestFit="1" customWidth="1"/>
    <col min="8452" max="8452" width="15" bestFit="1" customWidth="1"/>
    <col min="8708" max="8708" width="15" bestFit="1" customWidth="1"/>
    <col min="8964" max="8964" width="15" bestFit="1" customWidth="1"/>
    <col min="9220" max="9220" width="15" bestFit="1" customWidth="1"/>
    <col min="9476" max="9476" width="15" bestFit="1" customWidth="1"/>
    <col min="9732" max="9732" width="15" bestFit="1" customWidth="1"/>
    <col min="9988" max="9988" width="15" bestFit="1" customWidth="1"/>
    <col min="10244" max="10244" width="15" bestFit="1" customWidth="1"/>
    <col min="10500" max="10500" width="15" bestFit="1" customWidth="1"/>
    <col min="10756" max="10756" width="15" bestFit="1" customWidth="1"/>
    <col min="11012" max="11012" width="15" bestFit="1" customWidth="1"/>
    <col min="11268" max="11268" width="15" bestFit="1" customWidth="1"/>
    <col min="11524" max="11524" width="15" bestFit="1" customWidth="1"/>
    <col min="11780" max="11780" width="15" bestFit="1" customWidth="1"/>
    <col min="12036" max="12036" width="15" bestFit="1" customWidth="1"/>
    <col min="12292" max="12292" width="15" bestFit="1" customWidth="1"/>
    <col min="12548" max="12548" width="15" bestFit="1" customWidth="1"/>
    <col min="12804" max="12804" width="15" bestFit="1" customWidth="1"/>
    <col min="13060" max="13060" width="15" bestFit="1" customWidth="1"/>
    <col min="13316" max="13316" width="15" bestFit="1" customWidth="1"/>
    <col min="13572" max="13572" width="15" bestFit="1" customWidth="1"/>
    <col min="13828" max="13828" width="15" bestFit="1" customWidth="1"/>
    <col min="14084" max="14084" width="15" bestFit="1" customWidth="1"/>
    <col min="14340" max="14340" width="15" bestFit="1" customWidth="1"/>
    <col min="14596" max="14596" width="15" bestFit="1" customWidth="1"/>
    <col min="14852" max="14852" width="15" bestFit="1" customWidth="1"/>
    <col min="15108" max="15108" width="15" bestFit="1" customWidth="1"/>
    <col min="15364" max="15364" width="15" bestFit="1" customWidth="1"/>
    <col min="15620" max="15620" width="15" bestFit="1" customWidth="1"/>
    <col min="15876" max="15876" width="15" bestFit="1" customWidth="1"/>
    <col min="16132" max="16132" width="15" bestFit="1" customWidth="1"/>
  </cols>
  <sheetData>
    <row r="1" spans="1:20">
      <c r="A1" s="94"/>
      <c r="B1" s="94"/>
      <c r="C1" s="94"/>
      <c r="D1" s="94"/>
      <c r="E1" s="143" t="s">
        <v>277</v>
      </c>
      <c r="F1" s="143"/>
      <c r="G1" s="143"/>
      <c r="H1" s="143"/>
      <c r="I1" s="143"/>
      <c r="J1" s="143"/>
      <c r="K1" s="143"/>
      <c r="L1" s="143"/>
      <c r="M1" s="143"/>
      <c r="N1" s="144" t="s">
        <v>278</v>
      </c>
      <c r="O1" s="145"/>
      <c r="P1" s="145"/>
      <c r="Q1" s="145"/>
      <c r="R1" s="145"/>
      <c r="S1" s="146"/>
      <c r="T1" s="94"/>
    </row>
    <row r="2" spans="1:20">
      <c r="A2" s="95" t="s">
        <v>279</v>
      </c>
      <c r="B2" s="96" t="s">
        <v>280</v>
      </c>
      <c r="C2" s="96" t="s">
        <v>281</v>
      </c>
      <c r="D2" s="96" t="s">
        <v>282</v>
      </c>
      <c r="E2" s="96" t="s">
        <v>283</v>
      </c>
      <c r="F2" s="96" t="s">
        <v>284</v>
      </c>
      <c r="G2" s="96" t="s">
        <v>285</v>
      </c>
      <c r="H2" s="96" t="s">
        <v>286</v>
      </c>
      <c r="I2" s="96" t="s">
        <v>287</v>
      </c>
      <c r="J2" s="96" t="s">
        <v>288</v>
      </c>
      <c r="K2" s="96" t="s">
        <v>289</v>
      </c>
      <c r="L2" s="96" t="s">
        <v>290</v>
      </c>
      <c r="M2" s="96" t="s">
        <v>291</v>
      </c>
      <c r="N2" s="96" t="s">
        <v>292</v>
      </c>
      <c r="O2" s="96" t="s">
        <v>293</v>
      </c>
      <c r="P2" s="96" t="s">
        <v>294</v>
      </c>
      <c r="Q2" s="96" t="s">
        <v>295</v>
      </c>
      <c r="R2" s="96" t="s">
        <v>296</v>
      </c>
      <c r="S2" s="96" t="s">
        <v>297</v>
      </c>
      <c r="T2" s="96" t="s">
        <v>298</v>
      </c>
    </row>
    <row r="3" spans="1:20">
      <c r="A3" s="97">
        <v>2011</v>
      </c>
      <c r="B3" s="98">
        <v>1315</v>
      </c>
      <c r="C3" s="99" t="s">
        <v>299</v>
      </c>
      <c r="D3" s="99" t="s">
        <v>300</v>
      </c>
      <c r="E3" s="100">
        <v>4.88</v>
      </c>
      <c r="F3" s="100">
        <v>2.84</v>
      </c>
      <c r="G3" s="100">
        <v>2.04</v>
      </c>
      <c r="H3" s="100" t="s">
        <v>301</v>
      </c>
      <c r="I3" s="100">
        <v>2.27</v>
      </c>
      <c r="J3" s="100">
        <v>4.9000000000000004</v>
      </c>
      <c r="K3" s="100" t="s">
        <v>301</v>
      </c>
      <c r="L3" s="100">
        <v>1.98</v>
      </c>
      <c r="M3" s="100">
        <v>1.06</v>
      </c>
      <c r="N3" s="100">
        <v>6.8</v>
      </c>
      <c r="O3" s="100">
        <v>14.4</v>
      </c>
      <c r="P3" s="100">
        <v>89.3</v>
      </c>
      <c r="Q3" s="100">
        <v>23.6</v>
      </c>
      <c r="R3" s="100" t="s">
        <v>301</v>
      </c>
      <c r="S3" s="100">
        <v>22.5</v>
      </c>
      <c r="T3" s="100">
        <v>9.9</v>
      </c>
    </row>
    <row r="4" spans="1:20">
      <c r="A4" s="97"/>
      <c r="B4" s="98">
        <v>1315</v>
      </c>
      <c r="C4" s="99" t="s">
        <v>299</v>
      </c>
      <c r="D4" s="99" t="s">
        <v>302</v>
      </c>
      <c r="E4" s="100">
        <v>4.2</v>
      </c>
      <c r="F4" s="100">
        <v>1.9</v>
      </c>
      <c r="G4" s="100">
        <v>2.33</v>
      </c>
      <c r="H4" s="100" t="s">
        <v>301</v>
      </c>
      <c r="I4" s="100">
        <v>2.23</v>
      </c>
      <c r="J4" s="100">
        <v>4.9000000000000004</v>
      </c>
      <c r="K4" s="100" t="s">
        <v>301</v>
      </c>
      <c r="L4" s="100">
        <v>1.97</v>
      </c>
      <c r="M4" s="100">
        <v>1.06</v>
      </c>
      <c r="N4" s="100">
        <v>6.7</v>
      </c>
      <c r="O4" s="100">
        <v>14.4</v>
      </c>
      <c r="P4" s="100">
        <v>99.8</v>
      </c>
      <c r="Q4" s="100">
        <v>22.8</v>
      </c>
      <c r="R4" s="100" t="s">
        <v>301</v>
      </c>
      <c r="S4" s="100">
        <v>22.1</v>
      </c>
      <c r="T4" s="100">
        <v>9.1999999999999993</v>
      </c>
    </row>
    <row r="5" spans="1:20">
      <c r="A5" s="97"/>
      <c r="B5" s="98">
        <v>1311</v>
      </c>
      <c r="C5" s="99" t="s">
        <v>303</v>
      </c>
      <c r="D5" s="99" t="s">
        <v>304</v>
      </c>
      <c r="E5" s="100">
        <v>4.9000000000000004</v>
      </c>
      <c r="F5" s="100">
        <v>2.66</v>
      </c>
      <c r="G5" s="100">
        <v>2.25</v>
      </c>
      <c r="H5" s="100" t="s">
        <v>301</v>
      </c>
      <c r="I5" s="100">
        <v>2.1</v>
      </c>
      <c r="J5" s="100">
        <v>4.5</v>
      </c>
      <c r="K5" s="100">
        <v>1.1000000000000001</v>
      </c>
      <c r="L5" s="100">
        <v>2.5</v>
      </c>
      <c r="M5" s="100">
        <v>1.24</v>
      </c>
      <c r="N5" s="100">
        <v>6.2</v>
      </c>
      <c r="O5" s="100">
        <v>5.8</v>
      </c>
      <c r="P5" s="100">
        <v>86.4</v>
      </c>
      <c r="Q5" s="100">
        <v>52</v>
      </c>
      <c r="R5" s="100" t="s">
        <v>301</v>
      </c>
      <c r="S5" s="100">
        <v>21.2</v>
      </c>
      <c r="T5" s="100">
        <v>9.56</v>
      </c>
    </row>
    <row r="6" spans="1:20">
      <c r="A6" s="97"/>
      <c r="B6" s="98">
        <v>1051</v>
      </c>
      <c r="C6" s="99" t="s">
        <v>305</v>
      </c>
      <c r="D6" s="99" t="s">
        <v>306</v>
      </c>
      <c r="E6" s="100">
        <v>4.4000000000000004</v>
      </c>
      <c r="F6" s="100">
        <v>1.77</v>
      </c>
      <c r="G6" s="100">
        <v>2.62</v>
      </c>
      <c r="H6" s="100" t="s">
        <v>301</v>
      </c>
      <c r="I6" s="100">
        <v>6.7</v>
      </c>
      <c r="J6" s="100">
        <v>3</v>
      </c>
      <c r="K6" s="100">
        <v>1.2</v>
      </c>
      <c r="L6" s="100">
        <v>4.7</v>
      </c>
      <c r="M6" s="100">
        <v>1.22</v>
      </c>
      <c r="N6" s="100">
        <v>6.6</v>
      </c>
      <c r="O6" s="100">
        <v>63.5</v>
      </c>
      <c r="P6" s="100">
        <v>170.8</v>
      </c>
      <c r="Q6" s="100">
        <v>42.8</v>
      </c>
      <c r="R6" s="100" t="s">
        <v>301</v>
      </c>
      <c r="S6" s="100">
        <v>108.5</v>
      </c>
      <c r="T6" s="100">
        <v>6.85</v>
      </c>
    </row>
    <row r="7" spans="1:20">
      <c r="A7" s="97">
        <v>2010</v>
      </c>
      <c r="B7" s="98">
        <v>9021</v>
      </c>
      <c r="C7" s="99" t="s">
        <v>307</v>
      </c>
      <c r="D7" s="99" t="s">
        <v>308</v>
      </c>
      <c r="E7" s="100">
        <v>5.88</v>
      </c>
      <c r="F7" s="100">
        <v>5.25</v>
      </c>
      <c r="G7" s="100" t="s">
        <v>301</v>
      </c>
      <c r="H7" s="100" t="s">
        <v>301</v>
      </c>
      <c r="I7" s="100">
        <v>6.2</v>
      </c>
      <c r="J7" s="100">
        <v>5.5</v>
      </c>
      <c r="K7" s="100">
        <v>1.35</v>
      </c>
      <c r="L7" s="100">
        <v>11.2</v>
      </c>
      <c r="M7" s="100">
        <v>4.3</v>
      </c>
      <c r="N7" s="100">
        <v>25.6</v>
      </c>
      <c r="O7" s="100">
        <v>8</v>
      </c>
      <c r="P7" s="100">
        <v>2684</v>
      </c>
      <c r="Q7" s="100">
        <v>561</v>
      </c>
      <c r="R7" s="100" t="s">
        <v>301</v>
      </c>
      <c r="S7" s="100">
        <v>56</v>
      </c>
      <c r="T7" s="100">
        <v>40.799999999999997</v>
      </c>
    </row>
    <row r="8" spans="1:20">
      <c r="A8" s="97">
        <v>2010</v>
      </c>
      <c r="B8" s="98">
        <v>9021</v>
      </c>
      <c r="C8" s="101" t="s">
        <v>307</v>
      </c>
      <c r="D8" s="101" t="s">
        <v>309</v>
      </c>
      <c r="E8" s="102">
        <v>10.19</v>
      </c>
      <c r="F8" s="102">
        <v>9.44</v>
      </c>
      <c r="G8" s="102" t="s">
        <v>301</v>
      </c>
      <c r="H8" s="102" t="s">
        <v>301</v>
      </c>
      <c r="I8" s="100">
        <v>7.62</v>
      </c>
      <c r="J8" s="100">
        <v>7.86</v>
      </c>
      <c r="K8" s="100">
        <v>1.91</v>
      </c>
      <c r="L8" s="100">
        <v>11.63</v>
      </c>
      <c r="M8" s="100">
        <v>3.71</v>
      </c>
      <c r="N8" s="100">
        <v>20.6</v>
      </c>
      <c r="O8" s="100">
        <v>26.6</v>
      </c>
      <c r="P8" s="100">
        <v>3375</v>
      </c>
      <c r="Q8" s="100">
        <v>147.30000000000001</v>
      </c>
      <c r="R8" s="100" t="s">
        <v>301</v>
      </c>
      <c r="S8" s="100">
        <v>143.4</v>
      </c>
      <c r="T8" s="100">
        <v>80.81</v>
      </c>
    </row>
    <row r="9" spans="1:20">
      <c r="A9" s="97"/>
      <c r="B9" s="98">
        <v>9031</v>
      </c>
      <c r="C9" s="99" t="s">
        <v>310</v>
      </c>
      <c r="D9" s="99" t="s">
        <v>311</v>
      </c>
      <c r="E9" s="100">
        <v>3.4</v>
      </c>
      <c r="F9" s="100">
        <v>1.88</v>
      </c>
      <c r="G9" s="100">
        <v>1.54</v>
      </c>
      <c r="H9" s="100" t="s">
        <v>301</v>
      </c>
      <c r="I9" s="100">
        <v>1.6</v>
      </c>
      <c r="J9" s="100">
        <v>4</v>
      </c>
      <c r="K9" s="100" t="s">
        <v>301</v>
      </c>
      <c r="L9" s="100">
        <v>1.06</v>
      </c>
      <c r="M9" s="100" t="s">
        <v>301</v>
      </c>
      <c r="N9" s="100">
        <v>4.9000000000000004</v>
      </c>
      <c r="O9" s="100">
        <v>2.9</v>
      </c>
      <c r="P9" s="100">
        <v>82.6</v>
      </c>
      <c r="Q9" s="100">
        <v>10.8</v>
      </c>
      <c r="R9" s="100" t="s">
        <v>301</v>
      </c>
      <c r="S9" s="100">
        <v>15.4</v>
      </c>
      <c r="T9" s="100">
        <v>6.48</v>
      </c>
    </row>
    <row r="10" spans="1:20">
      <c r="A10" s="97"/>
      <c r="B10" s="98">
        <v>9081</v>
      </c>
      <c r="C10" s="103" t="s">
        <v>312</v>
      </c>
      <c r="D10" s="103" t="s">
        <v>311</v>
      </c>
      <c r="E10" s="104">
        <v>4.32</v>
      </c>
      <c r="F10" s="104">
        <v>2.38</v>
      </c>
      <c r="G10" s="104">
        <v>1.94</v>
      </c>
      <c r="H10" s="104" t="s">
        <v>313</v>
      </c>
      <c r="I10" s="104">
        <v>2.12</v>
      </c>
      <c r="J10" s="104">
        <v>5.9</v>
      </c>
      <c r="K10" s="100" t="s">
        <v>301</v>
      </c>
      <c r="L10" s="100">
        <v>1.08</v>
      </c>
      <c r="M10" s="100" t="s">
        <v>301</v>
      </c>
      <c r="N10" s="100">
        <v>7.1</v>
      </c>
      <c r="O10" s="100">
        <v>10.4</v>
      </c>
      <c r="P10" s="100">
        <v>81</v>
      </c>
      <c r="Q10" s="100">
        <v>19.8</v>
      </c>
      <c r="R10" s="100" t="s">
        <v>301</v>
      </c>
      <c r="S10" s="100">
        <v>17.100000000000001</v>
      </c>
      <c r="T10" s="100">
        <v>8.94</v>
      </c>
    </row>
    <row r="11" spans="1:20">
      <c r="A11" s="97"/>
      <c r="B11" s="98">
        <v>9231</v>
      </c>
      <c r="C11" s="99" t="s">
        <v>314</v>
      </c>
      <c r="D11" s="99" t="s">
        <v>315</v>
      </c>
      <c r="E11" s="100">
        <v>6.04</v>
      </c>
      <c r="F11" s="100">
        <v>2.94</v>
      </c>
      <c r="G11" s="100">
        <v>3.1</v>
      </c>
      <c r="H11" s="100" t="s">
        <v>301</v>
      </c>
      <c r="I11" s="100">
        <v>5.7</v>
      </c>
      <c r="J11" s="100">
        <v>2.9</v>
      </c>
      <c r="K11" s="100">
        <v>1.2</v>
      </c>
      <c r="L11" s="100">
        <v>2.1800000000000002</v>
      </c>
      <c r="M11" s="100">
        <v>1.69</v>
      </c>
      <c r="N11" s="100">
        <v>5.9</v>
      </c>
      <c r="O11" s="100">
        <v>16.600000000000001</v>
      </c>
      <c r="P11" s="100">
        <v>242.5</v>
      </c>
      <c r="Q11" s="100">
        <v>38.1</v>
      </c>
      <c r="R11" s="100" t="s">
        <v>301</v>
      </c>
      <c r="S11" s="100">
        <v>78.900000000000006</v>
      </c>
      <c r="T11" s="100">
        <v>9.08</v>
      </c>
    </row>
    <row r="12" spans="1:20">
      <c r="A12" s="97"/>
      <c r="B12" s="98">
        <v>8021</v>
      </c>
      <c r="C12" s="99" t="s">
        <v>307</v>
      </c>
      <c r="D12" s="99" t="s">
        <v>308</v>
      </c>
      <c r="E12" s="100">
        <v>5.5</v>
      </c>
      <c r="F12" s="100">
        <v>4.8</v>
      </c>
      <c r="G12" s="100" t="s">
        <v>301</v>
      </c>
      <c r="H12" s="100" t="s">
        <v>301</v>
      </c>
      <c r="I12" s="100">
        <v>8.3000000000000007</v>
      </c>
      <c r="J12" s="100">
        <v>5.9</v>
      </c>
      <c r="K12" s="100">
        <v>1.3</v>
      </c>
      <c r="L12" s="100">
        <v>6.8</v>
      </c>
      <c r="M12" s="100">
        <v>2.5</v>
      </c>
      <c r="N12" s="100">
        <v>10</v>
      </c>
      <c r="O12" s="100">
        <v>9</v>
      </c>
      <c r="P12" s="100">
        <v>1368</v>
      </c>
      <c r="Q12" s="100">
        <v>70</v>
      </c>
      <c r="R12" s="100" t="s">
        <v>301</v>
      </c>
      <c r="S12" s="100">
        <v>49</v>
      </c>
      <c r="T12" s="100">
        <v>33.700000000000003</v>
      </c>
    </row>
    <row r="13" spans="1:20">
      <c r="A13" s="97"/>
      <c r="B13" s="98">
        <v>8021</v>
      </c>
      <c r="C13" s="99" t="s">
        <v>307</v>
      </c>
      <c r="D13" s="99" t="s">
        <v>316</v>
      </c>
      <c r="E13" s="100">
        <v>31.9</v>
      </c>
      <c r="F13" s="100">
        <v>25.2</v>
      </c>
      <c r="G13" s="100">
        <v>4.7</v>
      </c>
      <c r="H13" s="100">
        <v>2</v>
      </c>
      <c r="I13" s="100">
        <v>35.9</v>
      </c>
      <c r="J13" s="100">
        <v>29.5</v>
      </c>
      <c r="K13" s="100">
        <v>6.9</v>
      </c>
      <c r="L13" s="100">
        <v>85.3</v>
      </c>
      <c r="M13" s="100">
        <v>25.9</v>
      </c>
      <c r="N13" s="100">
        <v>29</v>
      </c>
      <c r="O13" s="100">
        <v>41</v>
      </c>
      <c r="P13" s="100">
        <v>102</v>
      </c>
      <c r="Q13" s="100">
        <v>288</v>
      </c>
      <c r="R13" s="100">
        <v>2</v>
      </c>
      <c r="S13" s="100">
        <v>305</v>
      </c>
      <c r="T13" s="100">
        <v>84.8</v>
      </c>
    </row>
    <row r="14" spans="1:20">
      <c r="A14" s="97"/>
      <c r="B14" s="98">
        <v>8021</v>
      </c>
      <c r="C14" s="99" t="s">
        <v>307</v>
      </c>
      <c r="D14" s="99" t="s">
        <v>317</v>
      </c>
      <c r="E14" s="100">
        <v>31.3</v>
      </c>
      <c r="F14" s="100">
        <v>29.8</v>
      </c>
      <c r="G14" s="100">
        <v>1.3</v>
      </c>
      <c r="H14" s="100" t="s">
        <v>301</v>
      </c>
      <c r="I14" s="100">
        <v>32.9</v>
      </c>
      <c r="J14" s="100">
        <v>29.1</v>
      </c>
      <c r="K14" s="100">
        <v>9.4</v>
      </c>
      <c r="L14" s="100">
        <v>95</v>
      </c>
      <c r="M14" s="100">
        <v>29.3</v>
      </c>
      <c r="N14" s="100">
        <v>26</v>
      </c>
      <c r="O14" s="100">
        <v>44</v>
      </c>
      <c r="P14" s="100">
        <v>118</v>
      </c>
      <c r="Q14" s="100">
        <v>297</v>
      </c>
      <c r="R14" s="100" t="s">
        <v>301</v>
      </c>
      <c r="S14" s="100">
        <v>239</v>
      </c>
      <c r="T14" s="100">
        <v>91</v>
      </c>
    </row>
    <row r="15" spans="1:20">
      <c r="A15" s="97"/>
      <c r="B15" s="98">
        <v>8031</v>
      </c>
      <c r="C15" s="99" t="s">
        <v>310</v>
      </c>
      <c r="D15" s="99" t="s">
        <v>311</v>
      </c>
      <c r="E15" s="100">
        <v>4.45</v>
      </c>
      <c r="F15" s="100">
        <v>2.76</v>
      </c>
      <c r="G15" s="100">
        <v>1.69</v>
      </c>
      <c r="H15" s="100" t="s">
        <v>301</v>
      </c>
      <c r="I15" s="100">
        <v>2.8</v>
      </c>
      <c r="J15" s="100">
        <v>4.7699999999999996</v>
      </c>
      <c r="K15" s="100" t="s">
        <v>301</v>
      </c>
      <c r="L15" s="100">
        <v>1.47</v>
      </c>
      <c r="M15" s="100" t="s">
        <v>301</v>
      </c>
      <c r="N15" s="100">
        <v>3.6</v>
      </c>
      <c r="O15" s="100">
        <v>6.3</v>
      </c>
      <c r="P15" s="100">
        <v>57.6</v>
      </c>
      <c r="Q15" s="100">
        <v>19.7</v>
      </c>
      <c r="R15" s="100" t="s">
        <v>301</v>
      </c>
      <c r="S15" s="100">
        <v>19.100000000000001</v>
      </c>
      <c r="T15" s="100">
        <v>7.86</v>
      </c>
    </row>
    <row r="16" spans="1:20">
      <c r="A16" s="97"/>
      <c r="B16" s="98">
        <v>8032</v>
      </c>
      <c r="C16" s="99" t="s">
        <v>310</v>
      </c>
      <c r="D16" s="99" t="s">
        <v>316</v>
      </c>
      <c r="E16" s="100">
        <v>46.4</v>
      </c>
      <c r="F16" s="100">
        <v>43.08</v>
      </c>
      <c r="G16" s="100">
        <v>3.29</v>
      </c>
      <c r="H16" s="100" t="s">
        <v>301</v>
      </c>
      <c r="I16" s="100">
        <v>42.9</v>
      </c>
      <c r="J16" s="100">
        <v>44.12</v>
      </c>
      <c r="K16" s="100">
        <v>8.25</v>
      </c>
      <c r="L16" s="100">
        <v>88.97</v>
      </c>
      <c r="M16" s="100">
        <v>32.869999999999997</v>
      </c>
      <c r="N16" s="100">
        <v>35.299999999999997</v>
      </c>
      <c r="O16" s="100">
        <v>45.5</v>
      </c>
      <c r="P16" s="100">
        <v>119.7</v>
      </c>
      <c r="Q16" s="100">
        <v>336.2</v>
      </c>
      <c r="R16" s="100">
        <v>1.6</v>
      </c>
      <c r="S16" s="100">
        <v>320.8</v>
      </c>
      <c r="T16" s="100">
        <v>84.9</v>
      </c>
    </row>
    <row r="17" spans="1:20">
      <c r="A17" s="97"/>
      <c r="B17" s="98">
        <v>8032</v>
      </c>
      <c r="C17" s="99" t="s">
        <v>310</v>
      </c>
      <c r="D17" s="99" t="s">
        <v>311</v>
      </c>
      <c r="E17" s="100">
        <v>4.5999999999999996</v>
      </c>
      <c r="F17" s="100">
        <v>2.75</v>
      </c>
      <c r="G17" s="100">
        <v>1.86</v>
      </c>
      <c r="H17" s="100" t="s">
        <v>301</v>
      </c>
      <c r="I17" s="100">
        <v>2.8</v>
      </c>
      <c r="J17" s="100">
        <v>4.8</v>
      </c>
      <c r="K17" s="100" t="s">
        <v>301</v>
      </c>
      <c r="L17" s="100">
        <v>1.38</v>
      </c>
      <c r="M17" s="100" t="s">
        <v>301</v>
      </c>
      <c r="N17" s="100">
        <v>2.6</v>
      </c>
      <c r="O17" s="100">
        <v>6.5</v>
      </c>
      <c r="P17" s="100">
        <v>49.1</v>
      </c>
      <c r="Q17" s="100">
        <v>17.100000000000001</v>
      </c>
      <c r="R17" s="100" t="s">
        <v>301</v>
      </c>
      <c r="S17" s="100">
        <v>17.8</v>
      </c>
      <c r="T17" s="100">
        <v>7.4</v>
      </c>
    </row>
    <row r="18" spans="1:20">
      <c r="A18" s="97"/>
      <c r="B18" s="98">
        <v>8081</v>
      </c>
      <c r="C18" s="99" t="s">
        <v>299</v>
      </c>
      <c r="D18" s="99" t="s">
        <v>311</v>
      </c>
      <c r="E18" s="100">
        <v>4.87</v>
      </c>
      <c r="F18" s="100">
        <v>3.3</v>
      </c>
      <c r="G18" s="100">
        <v>1.58</v>
      </c>
      <c r="H18" s="100" t="s">
        <v>301</v>
      </c>
      <c r="I18" s="100">
        <v>3.15</v>
      </c>
      <c r="J18" s="100">
        <v>4</v>
      </c>
      <c r="K18" s="100">
        <v>1.05</v>
      </c>
      <c r="L18" s="100">
        <v>1.95</v>
      </c>
      <c r="M18" s="100">
        <v>1.53</v>
      </c>
      <c r="N18" s="100">
        <v>4.0999999999999996</v>
      </c>
      <c r="O18" s="100">
        <v>15.4</v>
      </c>
      <c r="P18" s="100">
        <v>259.39999999999998</v>
      </c>
      <c r="Q18" s="100">
        <v>34.4</v>
      </c>
      <c r="R18" s="100" t="s">
        <v>301</v>
      </c>
      <c r="S18" s="100">
        <v>42</v>
      </c>
      <c r="T18" s="100">
        <v>9.75</v>
      </c>
    </row>
    <row r="19" spans="1:20">
      <c r="A19" s="97"/>
      <c r="B19" s="98">
        <v>8023</v>
      </c>
      <c r="C19" s="99" t="s">
        <v>318</v>
      </c>
      <c r="D19" s="99" t="s">
        <v>319</v>
      </c>
      <c r="E19" s="100">
        <v>5.37</v>
      </c>
      <c r="F19" s="100">
        <v>2.2400000000000002</v>
      </c>
      <c r="G19" s="100">
        <v>3.13</v>
      </c>
      <c r="H19" s="100" t="s">
        <v>301</v>
      </c>
      <c r="I19" s="100">
        <v>4.5199999999999996</v>
      </c>
      <c r="J19" s="100">
        <v>3.43</v>
      </c>
      <c r="K19" s="100" t="s">
        <v>301</v>
      </c>
      <c r="L19" s="100">
        <v>2.14</v>
      </c>
      <c r="M19" s="100">
        <v>1.0900000000000001</v>
      </c>
      <c r="N19" s="100">
        <v>4</v>
      </c>
      <c r="O19" s="100">
        <v>24.7</v>
      </c>
      <c r="P19" s="100">
        <v>160</v>
      </c>
      <c r="Q19" s="100">
        <v>31.1</v>
      </c>
      <c r="R19" s="100" t="s">
        <v>301</v>
      </c>
      <c r="S19" s="100">
        <v>64.900000000000006</v>
      </c>
      <c r="T19" s="100">
        <v>6.49</v>
      </c>
    </row>
    <row r="20" spans="1:20">
      <c r="A20" s="97"/>
      <c r="B20" s="98">
        <v>7011</v>
      </c>
      <c r="C20" s="99" t="s">
        <v>320</v>
      </c>
      <c r="D20" s="99" t="s">
        <v>321</v>
      </c>
      <c r="E20" s="100">
        <v>32</v>
      </c>
      <c r="F20" s="100" t="s">
        <v>322</v>
      </c>
      <c r="G20" s="100" t="s">
        <v>322</v>
      </c>
      <c r="H20" s="100" t="s">
        <v>322</v>
      </c>
      <c r="I20" s="100">
        <v>12.85</v>
      </c>
      <c r="J20" s="100">
        <v>33.869999999999997</v>
      </c>
      <c r="K20" s="100">
        <v>10.76</v>
      </c>
      <c r="L20" s="100">
        <v>144.9</v>
      </c>
      <c r="M20" s="100" t="s">
        <v>141</v>
      </c>
      <c r="N20" s="100">
        <v>33.1</v>
      </c>
      <c r="O20" s="100">
        <v>50.2</v>
      </c>
      <c r="P20" s="100">
        <v>1069</v>
      </c>
      <c r="Q20" s="100">
        <v>344.9</v>
      </c>
      <c r="R20" s="100">
        <v>2.2999999999999998</v>
      </c>
      <c r="S20" s="100">
        <v>286</v>
      </c>
      <c r="T20" s="100">
        <v>88.9</v>
      </c>
    </row>
    <row r="21" spans="1:20">
      <c r="A21" s="97"/>
      <c r="B21" s="98">
        <v>7011</v>
      </c>
      <c r="C21" s="99" t="s">
        <v>320</v>
      </c>
      <c r="D21" s="99" t="s">
        <v>316</v>
      </c>
      <c r="E21" s="100">
        <v>40</v>
      </c>
      <c r="F21" s="100" t="s">
        <v>322</v>
      </c>
      <c r="G21" s="100" t="s">
        <v>322</v>
      </c>
      <c r="H21" s="100" t="s">
        <v>322</v>
      </c>
      <c r="I21" s="100">
        <v>14.6</v>
      </c>
      <c r="J21" s="100">
        <v>47.2</v>
      </c>
      <c r="K21" s="100">
        <v>7.4</v>
      </c>
      <c r="L21" s="100">
        <v>88.5</v>
      </c>
      <c r="M21" s="100"/>
      <c r="N21" s="100">
        <v>36</v>
      </c>
      <c r="O21" s="100">
        <v>68</v>
      </c>
      <c r="P21" s="100">
        <v>896.4</v>
      </c>
      <c r="Q21" s="100">
        <v>360.5</v>
      </c>
      <c r="R21" s="100">
        <v>3.2</v>
      </c>
      <c r="S21" s="100">
        <v>396</v>
      </c>
      <c r="T21" s="100">
        <v>83</v>
      </c>
    </row>
    <row r="22" spans="1:20">
      <c r="A22" s="97"/>
      <c r="B22" s="98">
        <v>7032</v>
      </c>
      <c r="C22" s="99" t="s">
        <v>310</v>
      </c>
      <c r="D22" s="99" t="s">
        <v>317</v>
      </c>
      <c r="E22" s="100">
        <v>31.3</v>
      </c>
      <c r="F22" s="100">
        <v>29.8</v>
      </c>
      <c r="G22" s="100">
        <v>1.3</v>
      </c>
      <c r="H22" s="100" t="s">
        <v>301</v>
      </c>
      <c r="I22" s="100">
        <v>32.9</v>
      </c>
      <c r="J22" s="100">
        <v>29.1</v>
      </c>
      <c r="K22" s="100">
        <v>9.4</v>
      </c>
      <c r="L22" s="100">
        <v>95</v>
      </c>
      <c r="M22" s="100">
        <v>29.3</v>
      </c>
      <c r="N22" s="100">
        <v>26</v>
      </c>
      <c r="O22" s="100">
        <v>44</v>
      </c>
      <c r="P22" s="100">
        <v>118</v>
      </c>
      <c r="Q22" s="100">
        <v>297</v>
      </c>
      <c r="R22" s="100" t="s">
        <v>301</v>
      </c>
      <c r="S22" s="100">
        <v>239</v>
      </c>
      <c r="T22" s="100">
        <v>91.1</v>
      </c>
    </row>
    <row r="23" spans="1:20">
      <c r="A23" s="97"/>
      <c r="B23" s="98">
        <v>6020</v>
      </c>
      <c r="C23" s="99"/>
      <c r="D23" s="99" t="s">
        <v>309</v>
      </c>
      <c r="E23" s="100">
        <v>8.6</v>
      </c>
      <c r="F23" s="100">
        <v>7.2</v>
      </c>
      <c r="G23" s="100">
        <v>1.3</v>
      </c>
      <c r="H23" s="100" t="s">
        <v>301</v>
      </c>
      <c r="I23" s="100">
        <v>7.2</v>
      </c>
      <c r="J23" s="100">
        <v>5.4</v>
      </c>
      <c r="K23" s="100">
        <v>1.8</v>
      </c>
      <c r="L23" s="100">
        <v>16.8</v>
      </c>
      <c r="M23" s="100">
        <v>3.1</v>
      </c>
      <c r="N23" s="100">
        <v>16</v>
      </c>
      <c r="O23" s="100">
        <v>19</v>
      </c>
      <c r="P23" s="100">
        <v>2505</v>
      </c>
      <c r="Q23" s="100">
        <v>116</v>
      </c>
      <c r="R23" s="100" t="s">
        <v>301</v>
      </c>
      <c r="S23" s="100">
        <v>106</v>
      </c>
      <c r="T23" s="100">
        <v>63.1</v>
      </c>
    </row>
    <row r="24" spans="1:20">
      <c r="A24" s="97"/>
      <c r="B24" s="98"/>
      <c r="C24" s="99"/>
      <c r="D24" s="99" t="s">
        <v>317</v>
      </c>
      <c r="E24" s="100">
        <v>31.51</v>
      </c>
      <c r="F24" s="100">
        <v>25.77</v>
      </c>
      <c r="G24" s="100">
        <v>3.46</v>
      </c>
      <c r="H24" s="100">
        <v>2.2799999999999998</v>
      </c>
      <c r="I24" s="100">
        <v>25.99</v>
      </c>
      <c r="J24" s="100">
        <v>30.54</v>
      </c>
      <c r="K24" s="100">
        <v>14.61</v>
      </c>
      <c r="L24" s="100">
        <v>160.38</v>
      </c>
      <c r="M24" s="100">
        <v>45.73</v>
      </c>
      <c r="N24" s="100">
        <v>23.7</v>
      </c>
      <c r="O24" s="100">
        <v>41.1</v>
      </c>
      <c r="P24" s="100">
        <v>75.599999999999994</v>
      </c>
      <c r="Q24" s="100">
        <v>226.7</v>
      </c>
      <c r="R24" s="100">
        <v>1.6</v>
      </c>
      <c r="S24" s="100">
        <v>208.9</v>
      </c>
      <c r="T24" s="100">
        <v>89.69</v>
      </c>
    </row>
    <row r="25" spans="1:20">
      <c r="A25" s="97"/>
      <c r="B25" s="98"/>
      <c r="C25" s="99"/>
      <c r="D25" s="99" t="s">
        <v>316</v>
      </c>
      <c r="E25" s="100">
        <v>40.97</v>
      </c>
      <c r="F25" s="100">
        <v>37.96</v>
      </c>
      <c r="G25" s="100">
        <v>3.01</v>
      </c>
      <c r="H25" s="100" t="s">
        <v>301</v>
      </c>
      <c r="I25" s="100">
        <v>41.65</v>
      </c>
      <c r="J25" s="100">
        <v>45.42</v>
      </c>
      <c r="K25" s="100">
        <v>8.0500000000000007</v>
      </c>
      <c r="L25" s="100">
        <v>91.59</v>
      </c>
      <c r="M25" s="100">
        <v>33.82</v>
      </c>
      <c r="N25" s="100">
        <v>37.4</v>
      </c>
      <c r="O25" s="100">
        <v>45</v>
      </c>
      <c r="P25" s="100">
        <v>118.6</v>
      </c>
      <c r="Q25" s="100">
        <v>346.8</v>
      </c>
      <c r="R25" s="100">
        <v>2.9</v>
      </c>
      <c r="S25" s="100">
        <v>320.5</v>
      </c>
      <c r="T25" s="100">
        <v>84.83</v>
      </c>
    </row>
    <row r="26" spans="1:20">
      <c r="A26" s="97"/>
      <c r="B26" s="98"/>
      <c r="C26" s="99"/>
      <c r="D26" s="99" t="s">
        <v>323</v>
      </c>
      <c r="E26" s="100">
        <v>31.99</v>
      </c>
      <c r="F26" s="100" t="s">
        <v>322</v>
      </c>
      <c r="G26" s="100" t="s">
        <v>322</v>
      </c>
      <c r="H26" s="100" t="s">
        <v>322</v>
      </c>
      <c r="I26" s="100">
        <v>12.85</v>
      </c>
      <c r="J26" s="100">
        <v>33.869999999999997</v>
      </c>
      <c r="K26" s="100">
        <v>10.76</v>
      </c>
      <c r="L26" s="100">
        <v>144.9</v>
      </c>
      <c r="M26" s="100"/>
      <c r="N26" s="100">
        <v>33.1</v>
      </c>
      <c r="O26" s="100">
        <v>50.2</v>
      </c>
      <c r="P26" s="100">
        <v>1069</v>
      </c>
      <c r="Q26" s="100">
        <v>345</v>
      </c>
      <c r="R26" s="100">
        <v>2.2999999999999998</v>
      </c>
      <c r="S26" s="100">
        <v>286.3</v>
      </c>
      <c r="T26" s="100">
        <v>88.9</v>
      </c>
    </row>
    <row r="27" spans="1:20">
      <c r="A27" s="97"/>
      <c r="B27" s="98">
        <v>7052</v>
      </c>
      <c r="C27" s="99" t="s">
        <v>324</v>
      </c>
      <c r="D27" s="99" t="s">
        <v>325</v>
      </c>
      <c r="E27" s="99">
        <v>35.200000000000003</v>
      </c>
      <c r="F27" s="99">
        <v>27.3</v>
      </c>
      <c r="G27" s="99">
        <v>7.9</v>
      </c>
      <c r="H27" s="105" t="s">
        <v>326</v>
      </c>
      <c r="I27" s="99">
        <v>21.9</v>
      </c>
      <c r="J27" s="99">
        <v>18.899999999999999</v>
      </c>
      <c r="K27" s="99">
        <v>5</v>
      </c>
      <c r="L27" s="99">
        <v>11.6</v>
      </c>
      <c r="M27" s="99"/>
      <c r="N27" s="99"/>
      <c r="O27" s="99"/>
      <c r="P27" s="99"/>
      <c r="Q27" s="99"/>
      <c r="R27" s="99"/>
      <c r="S27" s="99"/>
      <c r="T27" s="99">
        <v>55.7</v>
      </c>
    </row>
    <row r="28" spans="1:20">
      <c r="A28" s="97"/>
      <c r="B28" s="98">
        <v>7052</v>
      </c>
      <c r="C28" s="99" t="s">
        <v>324</v>
      </c>
      <c r="D28" s="99" t="s">
        <v>327</v>
      </c>
      <c r="E28" s="106">
        <v>20.88</v>
      </c>
      <c r="F28" s="106">
        <v>11.74</v>
      </c>
      <c r="G28" s="106">
        <v>9.14</v>
      </c>
      <c r="H28" s="100" t="s">
        <v>326</v>
      </c>
      <c r="I28" s="106">
        <v>17.420000000000002</v>
      </c>
      <c r="J28" s="106">
        <v>14.56</v>
      </c>
      <c r="K28" s="106">
        <v>4.21</v>
      </c>
      <c r="L28" s="106">
        <v>10.09</v>
      </c>
      <c r="M28" s="99"/>
      <c r="N28" s="99"/>
      <c r="O28" s="99"/>
      <c r="P28" s="99"/>
      <c r="Q28" s="99"/>
      <c r="R28" s="99"/>
      <c r="S28" s="99"/>
      <c r="T28" s="99">
        <v>36.369999999999997</v>
      </c>
    </row>
    <row r="29" spans="1:20">
      <c r="A29" s="99"/>
      <c r="B29" s="98">
        <v>7052</v>
      </c>
      <c r="C29" s="99" t="s">
        <v>324</v>
      </c>
      <c r="D29" s="99" t="s">
        <v>328</v>
      </c>
      <c r="E29" s="106">
        <v>8.73</v>
      </c>
      <c r="F29" s="106">
        <v>1.56</v>
      </c>
      <c r="G29" s="106">
        <v>7.16</v>
      </c>
      <c r="H29" s="100" t="s">
        <v>326</v>
      </c>
      <c r="I29" s="106">
        <v>3.93</v>
      </c>
      <c r="J29" s="106">
        <v>5.22</v>
      </c>
      <c r="K29" s="106">
        <v>1.1299999999999999</v>
      </c>
      <c r="L29" s="106">
        <v>1.99</v>
      </c>
      <c r="M29" s="99"/>
      <c r="N29" s="99"/>
      <c r="O29" s="99"/>
      <c r="P29" s="99"/>
      <c r="Q29" s="99"/>
      <c r="R29" s="99"/>
      <c r="S29" s="99"/>
      <c r="T29" s="99">
        <v>9.06</v>
      </c>
    </row>
    <row r="30" spans="1:20">
      <c r="A30" s="99"/>
      <c r="B30" s="98">
        <v>7052</v>
      </c>
      <c r="C30" s="99" t="s">
        <v>324</v>
      </c>
      <c r="D30" s="99" t="s">
        <v>329</v>
      </c>
      <c r="E30" s="106">
        <v>6.73</v>
      </c>
      <c r="F30" s="106">
        <v>1.05</v>
      </c>
      <c r="G30" s="106">
        <v>5.68</v>
      </c>
      <c r="H30" s="100" t="s">
        <v>326</v>
      </c>
      <c r="I30" s="106">
        <v>2.4900000000000002</v>
      </c>
      <c r="J30" s="106">
        <v>3.8</v>
      </c>
      <c r="K30" s="100" t="s">
        <v>301</v>
      </c>
      <c r="L30" s="106">
        <v>1.66</v>
      </c>
      <c r="M30" s="99"/>
      <c r="N30" s="99"/>
      <c r="O30" s="99"/>
      <c r="P30" s="99"/>
      <c r="Q30" s="99"/>
      <c r="R30" s="99"/>
      <c r="S30" s="99"/>
      <c r="T30" s="99">
        <v>4.7</v>
      </c>
    </row>
  </sheetData>
  <mergeCells count="2">
    <mergeCell ref="E1:M1"/>
    <mergeCell ref="N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workbookViewId="0">
      <selection activeCell="G8" sqref="G8"/>
    </sheetView>
  </sheetViews>
  <sheetFormatPr defaultRowHeight="15"/>
  <cols>
    <col min="1" max="1" width="28.28515625" bestFit="1" customWidth="1"/>
    <col min="2" max="2" width="9.7109375" customWidth="1"/>
  </cols>
  <sheetData>
    <row r="1" spans="1:18" ht="60">
      <c r="A1" s="1" t="s">
        <v>382</v>
      </c>
      <c r="B1" s="2" t="s">
        <v>37</v>
      </c>
      <c r="C1" s="2" t="s">
        <v>3</v>
      </c>
      <c r="D1" s="2" t="s">
        <v>6</v>
      </c>
      <c r="E1" s="2" t="s">
        <v>387</v>
      </c>
      <c r="F1" s="44"/>
      <c r="G1" s="14" t="s">
        <v>65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>
      <c r="A2" s="30" t="s">
        <v>373</v>
      </c>
      <c r="B2" s="16">
        <v>1.1000000000000001</v>
      </c>
      <c r="C2" s="138" t="s">
        <v>379</v>
      </c>
      <c r="G2" s="35" t="s">
        <v>380</v>
      </c>
    </row>
    <row r="3" spans="1:18">
      <c r="A3" s="30" t="s">
        <v>373</v>
      </c>
      <c r="B3" s="16"/>
      <c r="C3" s="31" t="s">
        <v>374</v>
      </c>
      <c r="G3" s="35" t="s">
        <v>375</v>
      </c>
    </row>
    <row r="4" spans="1:18">
      <c r="A4" s="30" t="s">
        <v>377</v>
      </c>
      <c r="B4" s="16">
        <v>1.2</v>
      </c>
      <c r="C4" s="31">
        <v>79</v>
      </c>
      <c r="G4" s="35" t="s">
        <v>383</v>
      </c>
    </row>
    <row r="5" spans="1:18">
      <c r="A5" s="30" t="s">
        <v>384</v>
      </c>
      <c r="B5" s="16">
        <v>1.1499999999999999</v>
      </c>
      <c r="C5" s="31">
        <v>57</v>
      </c>
      <c r="G5" s="50" t="s">
        <v>385</v>
      </c>
    </row>
    <row r="7" spans="1:18">
      <c r="A7" s="30" t="s">
        <v>386</v>
      </c>
      <c r="C7">
        <v>27.7</v>
      </c>
      <c r="D7">
        <v>0.14000000000000001</v>
      </c>
      <c r="G7" t="s">
        <v>107</v>
      </c>
    </row>
    <row r="8" spans="1:18">
      <c r="C8">
        <v>40</v>
      </c>
      <c r="E8">
        <v>114</v>
      </c>
    </row>
    <row r="9" spans="1:18">
      <c r="C9">
        <v>43</v>
      </c>
    </row>
    <row r="10" spans="1:18">
      <c r="C10">
        <v>39.6</v>
      </c>
      <c r="D10">
        <v>0.11</v>
      </c>
    </row>
    <row r="11" spans="1:18">
      <c r="C11">
        <v>35.5</v>
      </c>
      <c r="D11">
        <v>0.16</v>
      </c>
    </row>
    <row r="12" spans="1:18">
      <c r="C12">
        <v>23.6</v>
      </c>
      <c r="D12">
        <v>0.14000000000000001</v>
      </c>
    </row>
    <row r="13" spans="1:18">
      <c r="C13">
        <v>54</v>
      </c>
    </row>
    <row r="14" spans="1:18">
      <c r="C14">
        <v>1.69</v>
      </c>
    </row>
    <row r="15" spans="1:18">
      <c r="C15">
        <v>1.69</v>
      </c>
    </row>
    <row r="16" spans="1:18">
      <c r="C16">
        <v>13.4</v>
      </c>
      <c r="D16">
        <v>0.3</v>
      </c>
    </row>
    <row r="17" spans="1:5">
      <c r="C17">
        <v>44</v>
      </c>
      <c r="E17">
        <v>139</v>
      </c>
    </row>
    <row r="18" spans="1:5">
      <c r="C18">
        <v>37</v>
      </c>
    </row>
    <row r="19" spans="1:5">
      <c r="C19">
        <v>49</v>
      </c>
      <c r="E19">
        <v>109</v>
      </c>
    </row>
    <row r="20" spans="1:5">
      <c r="C20">
        <v>32</v>
      </c>
      <c r="E20">
        <v>88</v>
      </c>
    </row>
    <row r="21" spans="1:5">
      <c r="C21">
        <v>54</v>
      </c>
    </row>
    <row r="22" spans="1:5">
      <c r="C22">
        <v>43</v>
      </c>
    </row>
    <row r="23" spans="1:5">
      <c r="C23">
        <v>49</v>
      </c>
      <c r="E23">
        <v>152</v>
      </c>
    </row>
    <row r="24" spans="1:5">
      <c r="C24">
        <v>32</v>
      </c>
      <c r="E24">
        <v>88</v>
      </c>
    </row>
    <row r="25" spans="1:5">
      <c r="C25">
        <v>42</v>
      </c>
      <c r="E25">
        <v>94</v>
      </c>
    </row>
    <row r="26" spans="1:5">
      <c r="C26">
        <v>46</v>
      </c>
      <c r="E26">
        <v>164</v>
      </c>
    </row>
    <row r="27" spans="1:5">
      <c r="C27">
        <v>26</v>
      </c>
      <c r="E27">
        <v>98</v>
      </c>
    </row>
    <row r="28" spans="1:5">
      <c r="C28">
        <v>39</v>
      </c>
    </row>
    <row r="29" spans="1:5">
      <c r="C29">
        <v>35</v>
      </c>
      <c r="E29">
        <v>109</v>
      </c>
    </row>
    <row r="30" spans="1:5">
      <c r="C30">
        <v>33</v>
      </c>
      <c r="E30">
        <v>140</v>
      </c>
    </row>
    <row r="32" spans="1:5">
      <c r="A32" s="53" t="s">
        <v>349</v>
      </c>
      <c r="C32" s="9">
        <f>AVERAGE(C7:C30)</f>
        <v>35.049166666666665</v>
      </c>
      <c r="D32" s="75">
        <f>AVERAGE(D7:D30)</f>
        <v>0.17</v>
      </c>
      <c r="E32" s="9">
        <f>AVERAGE(E7:E30)</f>
        <v>117.72727272727273</v>
      </c>
    </row>
    <row r="33" spans="1:5">
      <c r="A33" s="53" t="s">
        <v>177</v>
      </c>
      <c r="C33" s="111">
        <f>_xlfn.STDEV.S(C7:C30)</f>
        <v>14.036093509751671</v>
      </c>
      <c r="D33" s="141">
        <f>_xlfn.STDEV.S(D7:D30)</f>
        <v>7.4833147735478792E-2</v>
      </c>
      <c r="E33" s="111">
        <f>_xlfn.STDEV.S(E7:E30)</f>
        <v>26.7398238928042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Databank meststoffen</vt:lpstr>
      <vt:lpstr>Mineralenconcentraten</vt:lpstr>
      <vt:lpstr>Digestaat</vt:lpstr>
      <vt:lpstr>Dunne fractie</vt:lpstr>
      <vt:lpstr>Dikke fractie</vt:lpstr>
      <vt:lpstr>Biologische mest</vt:lpstr>
      <vt:lpstr>Overige mestsoorten</vt:lpstr>
      <vt:lpstr>Proeven Altic-Agrifirm</vt:lpstr>
      <vt:lpstr>Spuiwater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2013-04-03T13:07:36Z</dcterms:modified>
</cp:coreProperties>
</file>